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rinamu-my.sharepoint.com/personal/msolanom_inamu_go_cr/Documents/ESCRITORIO INAMU - Respaldo PC/ESCRITORIO/00-EJERCICIO ECON. 2026/05 INFORMES DE EJECUCIÓN PRESUPUESTARIA - 2026/II TRIMESTRE 2026/INFORMES MENSUALES/"/>
    </mc:Choice>
  </mc:AlternateContent>
  <xr:revisionPtr revIDLastSave="597" documentId="8_{AEBF1396-D702-496E-89B3-752C4714DAC0}" xr6:coauthVersionLast="47" xr6:coauthVersionMax="47" xr10:uidLastSave="{45F289EF-1748-4094-9A53-BB89C47587BE}"/>
  <bookViews>
    <workbookView xWindow="-108" yWindow="-108" windowWidth="23256" windowHeight="13896" tabRatio="762" activeTab="6" xr2:uid="{0A666B0C-7B85-4E78-9D66-3F7E9BDC718D}"/>
  </bookViews>
  <sheets>
    <sheet name="Ingresos" sheetId="59" r:id="rId1"/>
    <sheet name="Prog 1" sheetId="50" r:id="rId2"/>
    <sheet name="Prog 2" sheetId="49" r:id="rId3"/>
    <sheet name="Prog 3" sheetId="65" r:id="rId4"/>
    <sheet name="Consolidado" sheetId="63" r:id="rId5"/>
    <sheet name="Liq. Total" sheetId="72" r:id="rId6"/>
    <sheet name="Ej. x Fuente F." sheetId="68" r:id="rId7"/>
    <sheet name="Origen y A" sheetId="67" r:id="rId8"/>
    <sheet name="Modificaciones" sheetId="71" r:id="rId9"/>
    <sheet name="Publicidad y P." sheetId="69" r:id="rId10"/>
    <sheet name="Inst. Resp." sheetId="73" r:id="rId11"/>
    <sheet name="Para Oficios" sheetId="74" r:id="rId12"/>
  </sheets>
  <externalReferences>
    <externalReference r:id="rId13"/>
  </externalReferences>
  <definedNames>
    <definedName name="_xlnm._FilterDatabase" localSheetId="4" hidden="1">Consolidado!$R$10:$S$159</definedName>
    <definedName name="_xlnm.Print_Titles" localSheetId="4">Consolidado!$2:$12</definedName>
    <definedName name="_xlnm.Print_Titles" localSheetId="1">'Prog 1'!$2:$11</definedName>
    <definedName name="_xlnm.Print_Titles" localSheetId="2">'Prog 2'!$1:$11</definedName>
    <definedName name="_xlnm.Print_Titles" localSheetId="3">'Prog 3'!$2:$11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74" l="1"/>
  <c r="D10" i="73" l="1"/>
  <c r="D9" i="73"/>
  <c r="D14" i="69"/>
  <c r="B14" i="69"/>
  <c r="Q97" i="49" l="1"/>
  <c r="P97" i="49"/>
  <c r="P129" i="65"/>
  <c r="P139" i="65"/>
  <c r="P138" i="65"/>
  <c r="P75" i="65"/>
  <c r="P74" i="65"/>
  <c r="P68" i="65"/>
  <c r="P67" i="65"/>
  <c r="P62" i="65"/>
  <c r="P54" i="65"/>
  <c r="P53" i="65"/>
  <c r="P39" i="65"/>
  <c r="P38" i="65"/>
  <c r="P37" i="65"/>
  <c r="P36" i="65"/>
  <c r="P34" i="65"/>
  <c r="P33" i="65"/>
  <c r="P32" i="65"/>
  <c r="P31" i="65"/>
  <c r="P30" i="65"/>
  <c r="P28" i="65"/>
  <c r="P27" i="65"/>
  <c r="P26" i="65"/>
  <c r="P25" i="65"/>
  <c r="P24" i="65"/>
  <c r="P21" i="65"/>
  <c r="P20" i="65"/>
  <c r="P19" i="65"/>
  <c r="P17" i="65"/>
  <c r="P15" i="65"/>
  <c r="P141" i="49"/>
  <c r="P139" i="49"/>
  <c r="P138" i="49"/>
  <c r="P136" i="49"/>
  <c r="P115" i="49"/>
  <c r="P114" i="49"/>
  <c r="P113" i="49"/>
  <c r="P112" i="49"/>
  <c r="P111" i="49"/>
  <c r="P110" i="49"/>
  <c r="P109" i="49"/>
  <c r="P108" i="49"/>
  <c r="P105" i="49"/>
  <c r="P102" i="49"/>
  <c r="P101" i="49"/>
  <c r="P100" i="49"/>
  <c r="P99" i="49"/>
  <c r="P98" i="49"/>
  <c r="P96" i="49"/>
  <c r="P94" i="49"/>
  <c r="P93" i="49"/>
  <c r="P92" i="49"/>
  <c r="P91" i="49"/>
  <c r="P75" i="49"/>
  <c r="P74" i="49"/>
  <c r="P68" i="49"/>
  <c r="P67" i="49"/>
  <c r="P65" i="49"/>
  <c r="P64" i="49"/>
  <c r="P63" i="49"/>
  <c r="P62" i="49"/>
  <c r="P61" i="49"/>
  <c r="P60" i="49"/>
  <c r="P59" i="49"/>
  <c r="P56" i="49"/>
  <c r="P55" i="49"/>
  <c r="P54" i="49"/>
  <c r="P51" i="49"/>
  <c r="P50" i="49"/>
  <c r="P44" i="49"/>
  <c r="P39" i="49"/>
  <c r="P38" i="49"/>
  <c r="P37" i="49"/>
  <c r="P36" i="49"/>
  <c r="P34" i="49"/>
  <c r="P33" i="49"/>
  <c r="P32" i="49"/>
  <c r="P31" i="49"/>
  <c r="P30" i="49"/>
  <c r="P28" i="49"/>
  <c r="P27" i="49"/>
  <c r="P26" i="49"/>
  <c r="P25" i="49"/>
  <c r="P24" i="49"/>
  <c r="P21" i="49"/>
  <c r="P20" i="49"/>
  <c r="P19" i="49"/>
  <c r="P17" i="49"/>
  <c r="P15" i="49"/>
  <c r="P149" i="50"/>
  <c r="P145" i="50"/>
  <c r="P143" i="50"/>
  <c r="P141" i="50"/>
  <c r="P139" i="50"/>
  <c r="P138" i="50"/>
  <c r="P136" i="50"/>
  <c r="P135" i="50"/>
  <c r="P133" i="50"/>
  <c r="P129" i="50"/>
  <c r="P127" i="50"/>
  <c r="P125" i="50"/>
  <c r="P123" i="50"/>
  <c r="P122" i="50"/>
  <c r="P121" i="50"/>
  <c r="P120" i="50"/>
  <c r="P119" i="50"/>
  <c r="P115" i="50"/>
  <c r="P114" i="50"/>
  <c r="P113" i="50"/>
  <c r="P112" i="50"/>
  <c r="P111" i="50"/>
  <c r="P110" i="50"/>
  <c r="P109" i="50"/>
  <c r="P108" i="50"/>
  <c r="P106" i="50"/>
  <c r="P105" i="50"/>
  <c r="P103" i="50"/>
  <c r="P102" i="50"/>
  <c r="P101" i="50"/>
  <c r="P100" i="50"/>
  <c r="P99" i="50"/>
  <c r="P98" i="50"/>
  <c r="P96" i="50"/>
  <c r="P94" i="50"/>
  <c r="P93" i="50"/>
  <c r="P92" i="50"/>
  <c r="P91" i="50"/>
  <c r="P87" i="50"/>
  <c r="P86" i="50"/>
  <c r="P84" i="50"/>
  <c r="P82" i="50"/>
  <c r="P81" i="50"/>
  <c r="P80" i="50"/>
  <c r="P79" i="50"/>
  <c r="P78" i="50"/>
  <c r="P76" i="50"/>
  <c r="P75" i="50"/>
  <c r="P74" i="50"/>
  <c r="P72" i="50"/>
  <c r="P70" i="50"/>
  <c r="P69" i="50"/>
  <c r="P68" i="50"/>
  <c r="P67" i="50"/>
  <c r="P65" i="50"/>
  <c r="P64" i="50"/>
  <c r="P63" i="50"/>
  <c r="P62" i="50"/>
  <c r="P61" i="50"/>
  <c r="P60" i="50"/>
  <c r="P59" i="50"/>
  <c r="P57" i="50"/>
  <c r="P56" i="50"/>
  <c r="P55" i="50"/>
  <c r="P54" i="50"/>
  <c r="P53" i="50"/>
  <c r="P51" i="50"/>
  <c r="P50" i="50"/>
  <c r="P49" i="50"/>
  <c r="P48" i="50"/>
  <c r="P46" i="50"/>
  <c r="P45" i="50"/>
  <c r="P44" i="50"/>
  <c r="P43" i="50"/>
  <c r="P39" i="50"/>
  <c r="P38" i="50"/>
  <c r="P37" i="50"/>
  <c r="P36" i="50"/>
  <c r="P34" i="50"/>
  <c r="P33" i="50"/>
  <c r="P32" i="50"/>
  <c r="P31" i="50"/>
  <c r="P30" i="50"/>
  <c r="P28" i="50"/>
  <c r="P27" i="50"/>
  <c r="P26" i="50"/>
  <c r="P25" i="50"/>
  <c r="P24" i="50"/>
  <c r="P22" i="50"/>
  <c r="P21" i="50"/>
  <c r="P20" i="50"/>
  <c r="P19" i="50"/>
  <c r="P17" i="50"/>
  <c r="P16" i="50"/>
  <c r="P15" i="50"/>
  <c r="I33" i="59"/>
  <c r="I29" i="59"/>
  <c r="I25" i="59"/>
  <c r="I24" i="59"/>
  <c r="I20" i="59"/>
  <c r="I18" i="59"/>
  <c r="I17" i="59"/>
  <c r="I15" i="59"/>
  <c r="O152" i="65" l="1"/>
  <c r="O151" i="65" s="1"/>
  <c r="O148" i="65"/>
  <c r="O147" i="65"/>
  <c r="O144" i="65"/>
  <c r="O142" i="65"/>
  <c r="O140" i="65"/>
  <c r="Q144" i="50" l="1"/>
  <c r="Q23" i="65" l="1"/>
  <c r="Q134" i="49"/>
  <c r="R134" i="49" s="1"/>
  <c r="F141" i="63"/>
  <c r="F140" i="63" s="1"/>
  <c r="E141" i="63"/>
  <c r="D141" i="63"/>
  <c r="F153" i="63"/>
  <c r="F152" i="63" s="1"/>
  <c r="F151" i="63" s="1"/>
  <c r="F149" i="63"/>
  <c r="F148" i="63" s="1"/>
  <c r="F147" i="63" s="1"/>
  <c r="F145" i="63"/>
  <c r="F144" i="63" s="1"/>
  <c r="F143" i="63"/>
  <c r="F142" i="63" s="1"/>
  <c r="F139" i="63"/>
  <c r="F138" i="63"/>
  <c r="F137" i="63"/>
  <c r="F136" i="63"/>
  <c r="F135" i="63"/>
  <c r="F134" i="63" s="1"/>
  <c r="F133" i="63"/>
  <c r="F132" i="63" s="1"/>
  <c r="F129" i="63"/>
  <c r="F128" i="63" s="1"/>
  <c r="F127" i="63"/>
  <c r="F126" i="63" s="1"/>
  <c r="F125" i="63"/>
  <c r="F124" i="63"/>
  <c r="F123" i="63"/>
  <c r="F122" i="63"/>
  <c r="F121" i="63"/>
  <c r="F120" i="63"/>
  <c r="F119" i="63"/>
  <c r="F115" i="63"/>
  <c r="F114" i="63"/>
  <c r="F113" i="63"/>
  <c r="F112" i="63"/>
  <c r="F111" i="63"/>
  <c r="F110" i="63"/>
  <c r="F109" i="63"/>
  <c r="F108" i="63"/>
  <c r="F106" i="63"/>
  <c r="F105" i="63"/>
  <c r="F103" i="63"/>
  <c r="F102" i="63"/>
  <c r="F101" i="63"/>
  <c r="F100" i="63"/>
  <c r="F99" i="63"/>
  <c r="F98" i="63"/>
  <c r="F96" i="63"/>
  <c r="F95" i="63" s="1"/>
  <c r="F94" i="63"/>
  <c r="F93" i="63"/>
  <c r="F92" i="63"/>
  <c r="F91" i="63"/>
  <c r="F87" i="63"/>
  <c r="F86" i="63"/>
  <c r="F85" i="63" s="1"/>
  <c r="F84" i="63"/>
  <c r="F83" i="63" s="1"/>
  <c r="F82" i="63"/>
  <c r="F81" i="63"/>
  <c r="F80" i="63"/>
  <c r="F79" i="63"/>
  <c r="F78" i="63"/>
  <c r="F76" i="63"/>
  <c r="F75" i="63"/>
  <c r="F74" i="63"/>
  <c r="F72" i="63"/>
  <c r="F71" i="63" s="1"/>
  <c r="F70" i="63"/>
  <c r="F69" i="63"/>
  <c r="F68" i="63"/>
  <c r="F67" i="63"/>
  <c r="F65" i="63"/>
  <c r="F64" i="63"/>
  <c r="F63" i="63"/>
  <c r="F62" i="63"/>
  <c r="F61" i="63"/>
  <c r="F60" i="63"/>
  <c r="F59" i="63"/>
  <c r="F57" i="63"/>
  <c r="F56" i="63"/>
  <c r="F55" i="63"/>
  <c r="F54" i="63"/>
  <c r="F53" i="63"/>
  <c r="F51" i="63"/>
  <c r="F50" i="63"/>
  <c r="F49" i="63"/>
  <c r="F48" i="63"/>
  <c r="F46" i="63"/>
  <c r="F45" i="63"/>
  <c r="F44" i="63"/>
  <c r="F43" i="63"/>
  <c r="F39" i="63"/>
  <c r="F38" i="63"/>
  <c r="F37" i="63"/>
  <c r="F36" i="63"/>
  <c r="F34" i="63"/>
  <c r="F33" i="63"/>
  <c r="F32" i="63"/>
  <c r="F31" i="63"/>
  <c r="F30" i="63"/>
  <c r="F29" i="63"/>
  <c r="F28" i="63"/>
  <c r="F27" i="63"/>
  <c r="F26" i="63"/>
  <c r="F25" i="63"/>
  <c r="F24" i="63"/>
  <c r="F23" i="63"/>
  <c r="F22" i="63"/>
  <c r="F21" i="63"/>
  <c r="F20" i="63"/>
  <c r="F19" i="63"/>
  <c r="F17" i="63"/>
  <c r="F16" i="63"/>
  <c r="F15" i="63"/>
  <c r="K140" i="63"/>
  <c r="J140" i="63"/>
  <c r="I140" i="63"/>
  <c r="H140" i="63"/>
  <c r="G140" i="63"/>
  <c r="K141" i="65"/>
  <c r="K140" i="65" s="1"/>
  <c r="J140" i="65"/>
  <c r="I140" i="65"/>
  <c r="H140" i="65"/>
  <c r="G140" i="65"/>
  <c r="F140" i="65"/>
  <c r="E140" i="65"/>
  <c r="R140" i="65"/>
  <c r="Q140" i="65"/>
  <c r="P140" i="65"/>
  <c r="D140" i="65"/>
  <c r="K141" i="50"/>
  <c r="K140" i="50" s="1"/>
  <c r="Q140" i="50"/>
  <c r="J140" i="50"/>
  <c r="I140" i="50"/>
  <c r="H140" i="50"/>
  <c r="G140" i="50"/>
  <c r="F140" i="50"/>
  <c r="D140" i="50"/>
  <c r="K141" i="49"/>
  <c r="L141" i="49" s="1"/>
  <c r="L140" i="49" s="1"/>
  <c r="R140" i="49"/>
  <c r="Q140" i="49"/>
  <c r="J140" i="49"/>
  <c r="I140" i="49"/>
  <c r="H140" i="49"/>
  <c r="G140" i="49"/>
  <c r="F140" i="49"/>
  <c r="E140" i="49"/>
  <c r="D140" i="49"/>
  <c r="R106" i="49"/>
  <c r="C24" i="67"/>
  <c r="C17" i="67"/>
  <c r="C12" i="67"/>
  <c r="F47" i="63" l="1"/>
  <c r="F42" i="63"/>
  <c r="F14" i="63"/>
  <c r="F97" i="63"/>
  <c r="F73" i="63"/>
  <c r="L141" i="63"/>
  <c r="L140" i="63" s="1"/>
  <c r="F18" i="63"/>
  <c r="F66" i="63"/>
  <c r="F90" i="63"/>
  <c r="F35" i="63"/>
  <c r="L141" i="65"/>
  <c r="F107" i="63"/>
  <c r="F118" i="63"/>
  <c r="F117" i="63" s="1"/>
  <c r="F104" i="63"/>
  <c r="F89" i="63" s="1"/>
  <c r="E140" i="63"/>
  <c r="M141" i="63"/>
  <c r="M140" i="63" s="1"/>
  <c r="F52" i="63"/>
  <c r="F77" i="63"/>
  <c r="D140" i="63"/>
  <c r="F58" i="63"/>
  <c r="S140" i="49"/>
  <c r="F131" i="63"/>
  <c r="K140" i="49"/>
  <c r="S141" i="49"/>
  <c r="L141" i="50"/>
  <c r="K29" i="68"/>
  <c r="K28" i="68"/>
  <c r="K27" i="68"/>
  <c r="K26" i="68"/>
  <c r="F13" i="63" l="1"/>
  <c r="L140" i="50"/>
  <c r="R141" i="50"/>
  <c r="R140" i="50" s="1"/>
  <c r="S141" i="50"/>
  <c r="F41" i="63"/>
  <c r="L140" i="65"/>
  <c r="S140" i="65" s="1"/>
  <c r="S141" i="65"/>
  <c r="S140" i="50" l="1"/>
  <c r="K129" i="49"/>
  <c r="L129" i="49" s="1"/>
  <c r="K127" i="49"/>
  <c r="K126" i="49" s="1"/>
  <c r="K125" i="49"/>
  <c r="L125" i="49" s="1"/>
  <c r="Q128" i="49"/>
  <c r="P128" i="49"/>
  <c r="K128" i="49"/>
  <c r="J128" i="49"/>
  <c r="I128" i="49"/>
  <c r="H128" i="49"/>
  <c r="G128" i="49"/>
  <c r="F128" i="49"/>
  <c r="E128" i="49"/>
  <c r="Q126" i="49"/>
  <c r="P126" i="49"/>
  <c r="J126" i="49"/>
  <c r="I126" i="49"/>
  <c r="H126" i="49"/>
  <c r="G126" i="49"/>
  <c r="F126" i="49"/>
  <c r="E126" i="49"/>
  <c r="Q124" i="49"/>
  <c r="P124" i="49"/>
  <c r="K124" i="49"/>
  <c r="J124" i="49"/>
  <c r="I124" i="49"/>
  <c r="H124" i="49"/>
  <c r="G124" i="49"/>
  <c r="F124" i="49"/>
  <c r="E124" i="49"/>
  <c r="K149" i="49"/>
  <c r="L149" i="49" s="1"/>
  <c r="K145" i="49"/>
  <c r="L145" i="49" s="1"/>
  <c r="K143" i="49"/>
  <c r="L143" i="49" s="1"/>
  <c r="K22" i="65"/>
  <c r="L22" i="65" s="1"/>
  <c r="K22" i="49"/>
  <c r="L22" i="49" s="1"/>
  <c r="R22" i="49" s="1"/>
  <c r="I152" i="49"/>
  <c r="I151" i="49" s="1"/>
  <c r="I148" i="49"/>
  <c r="I147" i="49" s="1"/>
  <c r="I144" i="49"/>
  <c r="I142" i="49"/>
  <c r="I137" i="49"/>
  <c r="I118" i="49"/>
  <c r="I107" i="49"/>
  <c r="I104" i="49"/>
  <c r="I97" i="49"/>
  <c r="I95" i="49"/>
  <c r="I90" i="49"/>
  <c r="I85" i="49"/>
  <c r="I83" i="49"/>
  <c r="I77" i="49"/>
  <c r="I73" i="49"/>
  <c r="I71" i="49"/>
  <c r="I66" i="49"/>
  <c r="I58" i="49"/>
  <c r="I52" i="49"/>
  <c r="I47" i="49"/>
  <c r="I42" i="49"/>
  <c r="I35" i="49"/>
  <c r="I29" i="49"/>
  <c r="I23" i="49"/>
  <c r="I18" i="49"/>
  <c r="I14" i="49"/>
  <c r="I152" i="50"/>
  <c r="H152" i="50"/>
  <c r="H151" i="50" s="1"/>
  <c r="I151" i="50"/>
  <c r="I148" i="50"/>
  <c r="I147" i="50" s="1"/>
  <c r="H148" i="50"/>
  <c r="H147" i="50" s="1"/>
  <c r="I144" i="50"/>
  <c r="H144" i="50"/>
  <c r="I142" i="50"/>
  <c r="H142" i="50"/>
  <c r="I137" i="50"/>
  <c r="H137" i="50"/>
  <c r="I134" i="50"/>
  <c r="H134" i="50"/>
  <c r="I132" i="50"/>
  <c r="I131" i="50" s="1"/>
  <c r="H132" i="50"/>
  <c r="H131" i="50" s="1"/>
  <c r="I128" i="50"/>
  <c r="H128" i="50"/>
  <c r="I126" i="50"/>
  <c r="H126" i="50"/>
  <c r="I124" i="50"/>
  <c r="H124" i="50"/>
  <c r="I118" i="50"/>
  <c r="H118" i="50"/>
  <c r="I107" i="50"/>
  <c r="H107" i="50"/>
  <c r="I104" i="50"/>
  <c r="H104" i="50"/>
  <c r="I97" i="50"/>
  <c r="H97" i="50"/>
  <c r="I95" i="50"/>
  <c r="H95" i="50"/>
  <c r="I90" i="50"/>
  <c r="H90" i="50"/>
  <c r="I89" i="50"/>
  <c r="I85" i="50"/>
  <c r="H85" i="50"/>
  <c r="I83" i="50"/>
  <c r="H83" i="50"/>
  <c r="I77" i="50"/>
  <c r="H77" i="50"/>
  <c r="I73" i="50"/>
  <c r="H73" i="50"/>
  <c r="I71" i="50"/>
  <c r="H71" i="50"/>
  <c r="I66" i="50"/>
  <c r="H66" i="50"/>
  <c r="I58" i="50"/>
  <c r="H58" i="50"/>
  <c r="I52" i="50"/>
  <c r="H52" i="50"/>
  <c r="I47" i="50"/>
  <c r="H47" i="50"/>
  <c r="I42" i="50"/>
  <c r="H42" i="50"/>
  <c r="I35" i="50"/>
  <c r="H35" i="50"/>
  <c r="I29" i="50"/>
  <c r="I13" i="50" s="1"/>
  <c r="H29" i="50"/>
  <c r="H13" i="50" s="1"/>
  <c r="I23" i="50"/>
  <c r="H23" i="50"/>
  <c r="I18" i="50"/>
  <c r="H18" i="50"/>
  <c r="I14" i="50"/>
  <c r="H14" i="50"/>
  <c r="K139" i="49"/>
  <c r="L139" i="49" s="1"/>
  <c r="R139" i="49" s="1"/>
  <c r="K138" i="49"/>
  <c r="L138" i="49" s="1"/>
  <c r="R138" i="49" s="1"/>
  <c r="E138" i="63"/>
  <c r="H89" i="50" l="1"/>
  <c r="H41" i="50"/>
  <c r="I41" i="50"/>
  <c r="I131" i="49"/>
  <c r="I89" i="49"/>
  <c r="I13" i="49"/>
  <c r="H117" i="50"/>
  <c r="H155" i="50" s="1"/>
  <c r="I117" i="50"/>
  <c r="I155" i="50" s="1"/>
  <c r="I41" i="49"/>
  <c r="R143" i="49"/>
  <c r="R142" i="49" s="1"/>
  <c r="S143" i="49"/>
  <c r="S145" i="49"/>
  <c r="R145" i="49"/>
  <c r="S149" i="49"/>
  <c r="R149" i="49"/>
  <c r="S129" i="49"/>
  <c r="R129" i="49"/>
  <c r="L128" i="49"/>
  <c r="I117" i="49"/>
  <c r="I155" i="49" s="1"/>
  <c r="L127" i="49"/>
  <c r="S125" i="49"/>
  <c r="R125" i="49"/>
  <c r="L124" i="49"/>
  <c r="R22" i="65"/>
  <c r="S22" i="65"/>
  <c r="S22" i="49"/>
  <c r="D149" i="50"/>
  <c r="D149" i="63" s="1"/>
  <c r="E153" i="63"/>
  <c r="L153" i="63" s="1"/>
  <c r="E149" i="63"/>
  <c r="E148" i="63" s="1"/>
  <c r="E147" i="63" s="1"/>
  <c r="E145" i="63"/>
  <c r="E143" i="63"/>
  <c r="L143" i="63" s="1"/>
  <c r="L142" i="63" s="1"/>
  <c r="E139" i="63"/>
  <c r="L139" i="63" s="1"/>
  <c r="L138" i="63"/>
  <c r="E136" i="63"/>
  <c r="L136" i="63" s="1"/>
  <c r="E135" i="63"/>
  <c r="L135" i="63" s="1"/>
  <c r="E133" i="63"/>
  <c r="E129" i="63"/>
  <c r="E128" i="63" s="1"/>
  <c r="E127" i="63"/>
  <c r="E126" i="63" s="1"/>
  <c r="E125" i="63"/>
  <c r="L125" i="63" s="1"/>
  <c r="E123" i="63"/>
  <c r="L123" i="63" s="1"/>
  <c r="E122" i="63"/>
  <c r="L122" i="63" s="1"/>
  <c r="E121" i="63"/>
  <c r="L121" i="63" s="1"/>
  <c r="E120" i="63"/>
  <c r="L120" i="63" s="1"/>
  <c r="E119" i="63"/>
  <c r="L119" i="63" s="1"/>
  <c r="E115" i="63"/>
  <c r="L115" i="63" s="1"/>
  <c r="E114" i="63"/>
  <c r="L114" i="63" s="1"/>
  <c r="E113" i="63"/>
  <c r="L113" i="63" s="1"/>
  <c r="E112" i="63"/>
  <c r="L112" i="63" s="1"/>
  <c r="E111" i="63"/>
  <c r="E110" i="63"/>
  <c r="L110" i="63" s="1"/>
  <c r="E109" i="63"/>
  <c r="L109" i="63" s="1"/>
  <c r="E108" i="63"/>
  <c r="L108" i="63" s="1"/>
  <c r="E106" i="63"/>
  <c r="L106" i="63" s="1"/>
  <c r="E105" i="63"/>
  <c r="E103" i="63"/>
  <c r="L103" i="63" s="1"/>
  <c r="E102" i="63"/>
  <c r="L102" i="63" s="1"/>
  <c r="E101" i="63"/>
  <c r="L101" i="63" s="1"/>
  <c r="E100" i="63"/>
  <c r="L100" i="63" s="1"/>
  <c r="E99" i="63"/>
  <c r="E98" i="63"/>
  <c r="L98" i="63" s="1"/>
  <c r="E96" i="63"/>
  <c r="L96" i="63" s="1"/>
  <c r="E94" i="63"/>
  <c r="L94" i="63" s="1"/>
  <c r="E93" i="63"/>
  <c r="L93" i="63" s="1"/>
  <c r="E92" i="63"/>
  <c r="L92" i="63" s="1"/>
  <c r="E91" i="63"/>
  <c r="L91" i="63" s="1"/>
  <c r="E87" i="63"/>
  <c r="L87" i="63" s="1"/>
  <c r="E86" i="63"/>
  <c r="L86" i="63" s="1"/>
  <c r="E84" i="63"/>
  <c r="L84" i="63" s="1"/>
  <c r="L83" i="63" s="1"/>
  <c r="E82" i="63"/>
  <c r="L82" i="63" s="1"/>
  <c r="E81" i="63"/>
  <c r="L81" i="63" s="1"/>
  <c r="E80" i="63"/>
  <c r="L80" i="63" s="1"/>
  <c r="E79" i="63"/>
  <c r="L79" i="63" s="1"/>
  <c r="E78" i="63"/>
  <c r="L78" i="63" s="1"/>
  <c r="E76" i="63"/>
  <c r="L76" i="63" s="1"/>
  <c r="E75" i="63"/>
  <c r="E74" i="63"/>
  <c r="L74" i="63" s="1"/>
  <c r="E72" i="63"/>
  <c r="E70" i="63"/>
  <c r="L70" i="63" s="1"/>
  <c r="E69" i="63"/>
  <c r="L69" i="63" s="1"/>
  <c r="E68" i="63"/>
  <c r="L68" i="63" s="1"/>
  <c r="E67" i="63"/>
  <c r="E65" i="63"/>
  <c r="L65" i="63" s="1"/>
  <c r="E64" i="63"/>
  <c r="L64" i="63" s="1"/>
  <c r="E63" i="63"/>
  <c r="L63" i="63" s="1"/>
  <c r="E62" i="63"/>
  <c r="L62" i="63" s="1"/>
  <c r="E61" i="63"/>
  <c r="L61" i="63" s="1"/>
  <c r="E60" i="63"/>
  <c r="L60" i="63" s="1"/>
  <c r="E59" i="63"/>
  <c r="E57" i="63"/>
  <c r="L57" i="63" s="1"/>
  <c r="E56" i="63"/>
  <c r="L56" i="63" s="1"/>
  <c r="E55" i="63"/>
  <c r="L55" i="63" s="1"/>
  <c r="E54" i="63"/>
  <c r="L54" i="63" s="1"/>
  <c r="E53" i="63"/>
  <c r="L53" i="63" s="1"/>
  <c r="E51" i="63"/>
  <c r="L51" i="63" s="1"/>
  <c r="E50" i="63"/>
  <c r="L50" i="63" s="1"/>
  <c r="E49" i="63"/>
  <c r="L49" i="63" s="1"/>
  <c r="E48" i="63"/>
  <c r="E46" i="63"/>
  <c r="L46" i="63" s="1"/>
  <c r="E45" i="63"/>
  <c r="L45" i="63" s="1"/>
  <c r="E44" i="63"/>
  <c r="L44" i="63" s="1"/>
  <c r="E43" i="63"/>
  <c r="L43" i="63" s="1"/>
  <c r="E39" i="63"/>
  <c r="L39" i="63" s="1"/>
  <c r="E38" i="63"/>
  <c r="L38" i="63" s="1"/>
  <c r="E37" i="63"/>
  <c r="L37" i="63" s="1"/>
  <c r="E36" i="63"/>
  <c r="E34" i="63"/>
  <c r="L34" i="63" s="1"/>
  <c r="E33" i="63"/>
  <c r="L33" i="63" s="1"/>
  <c r="E32" i="63"/>
  <c r="L32" i="63" s="1"/>
  <c r="E31" i="63"/>
  <c r="L31" i="63" s="1"/>
  <c r="E30" i="63"/>
  <c r="E28" i="63"/>
  <c r="L28" i="63" s="1"/>
  <c r="E27" i="63"/>
  <c r="L27" i="63" s="1"/>
  <c r="E26" i="63"/>
  <c r="L26" i="63" s="1"/>
  <c r="E25" i="63"/>
  <c r="L25" i="63" s="1"/>
  <c r="E24" i="63"/>
  <c r="L24" i="63" s="1"/>
  <c r="E22" i="63"/>
  <c r="L22" i="63" s="1"/>
  <c r="E21" i="63"/>
  <c r="L21" i="63" s="1"/>
  <c r="E20" i="63"/>
  <c r="L20" i="63" s="1"/>
  <c r="E19" i="63"/>
  <c r="L19" i="63" s="1"/>
  <c r="E17" i="63"/>
  <c r="L17" i="63" s="1"/>
  <c r="E16" i="63"/>
  <c r="L16" i="63" s="1"/>
  <c r="K152" i="63"/>
  <c r="K151" i="63" s="1"/>
  <c r="J152" i="63"/>
  <c r="J151" i="63" s="1"/>
  <c r="G152" i="63"/>
  <c r="G151" i="63" s="1"/>
  <c r="I152" i="63"/>
  <c r="H152" i="63"/>
  <c r="H151" i="63" s="1"/>
  <c r="I151" i="63"/>
  <c r="J148" i="63"/>
  <c r="J147" i="63" s="1"/>
  <c r="I148" i="63"/>
  <c r="I147" i="63" s="1"/>
  <c r="H148" i="63"/>
  <c r="H147" i="63" s="1"/>
  <c r="G148" i="63"/>
  <c r="G147" i="63" s="1"/>
  <c r="K148" i="63"/>
  <c r="K147" i="63" s="1"/>
  <c r="G144" i="63"/>
  <c r="K144" i="63"/>
  <c r="J144" i="63"/>
  <c r="I144" i="63"/>
  <c r="H144" i="63"/>
  <c r="J142" i="63"/>
  <c r="I142" i="63"/>
  <c r="H142" i="63"/>
  <c r="G142" i="63"/>
  <c r="K142" i="63"/>
  <c r="G137" i="63"/>
  <c r="K137" i="63"/>
  <c r="J137" i="63"/>
  <c r="I137" i="63"/>
  <c r="H137" i="63"/>
  <c r="H134" i="63"/>
  <c r="G134" i="63"/>
  <c r="K134" i="63"/>
  <c r="J134" i="63"/>
  <c r="G132" i="63"/>
  <c r="K132" i="63"/>
  <c r="J132" i="63"/>
  <c r="I132" i="63"/>
  <c r="H132" i="63"/>
  <c r="K128" i="63"/>
  <c r="J128" i="63"/>
  <c r="I128" i="63"/>
  <c r="H128" i="63"/>
  <c r="G128" i="63"/>
  <c r="Q126" i="63"/>
  <c r="P126" i="63"/>
  <c r="H126" i="63"/>
  <c r="G126" i="63"/>
  <c r="K126" i="63"/>
  <c r="J126" i="63"/>
  <c r="I126" i="63"/>
  <c r="J124" i="63"/>
  <c r="I124" i="63"/>
  <c r="H124" i="63"/>
  <c r="G124" i="63"/>
  <c r="K124" i="63"/>
  <c r="H118" i="63"/>
  <c r="G118" i="63"/>
  <c r="K118" i="63"/>
  <c r="J118" i="63"/>
  <c r="H107" i="63"/>
  <c r="G107" i="63"/>
  <c r="K107" i="63"/>
  <c r="J107" i="63"/>
  <c r="I107" i="63"/>
  <c r="K104" i="63"/>
  <c r="J104" i="63"/>
  <c r="I104" i="63"/>
  <c r="H104" i="63"/>
  <c r="G104" i="63"/>
  <c r="H97" i="63"/>
  <c r="G97" i="63"/>
  <c r="K97" i="63"/>
  <c r="J97" i="63"/>
  <c r="I97" i="63"/>
  <c r="G95" i="63"/>
  <c r="K95" i="63"/>
  <c r="J95" i="63"/>
  <c r="I95" i="63"/>
  <c r="H95" i="63"/>
  <c r="I90" i="63"/>
  <c r="H90" i="63"/>
  <c r="G90" i="63"/>
  <c r="K90" i="63"/>
  <c r="J90" i="63"/>
  <c r="I85" i="63"/>
  <c r="K85" i="63"/>
  <c r="J85" i="63"/>
  <c r="G85" i="63"/>
  <c r="H85" i="63"/>
  <c r="K83" i="63"/>
  <c r="J83" i="63"/>
  <c r="I83" i="63"/>
  <c r="H83" i="63"/>
  <c r="G83" i="63"/>
  <c r="K77" i="63"/>
  <c r="H77" i="63"/>
  <c r="G77" i="63"/>
  <c r="I77" i="63"/>
  <c r="K73" i="63"/>
  <c r="J73" i="63"/>
  <c r="I73" i="63"/>
  <c r="H73" i="63"/>
  <c r="G73" i="63"/>
  <c r="K71" i="63"/>
  <c r="J71" i="63"/>
  <c r="I71" i="63"/>
  <c r="H71" i="63"/>
  <c r="G71" i="63"/>
  <c r="H66" i="63"/>
  <c r="K66" i="63"/>
  <c r="J66" i="63"/>
  <c r="I66" i="63"/>
  <c r="H58" i="63"/>
  <c r="G58" i="63"/>
  <c r="J58" i="63"/>
  <c r="I58" i="63"/>
  <c r="I52" i="63"/>
  <c r="H52" i="63"/>
  <c r="G52" i="63"/>
  <c r="H47" i="63"/>
  <c r="G47" i="63"/>
  <c r="I47" i="63"/>
  <c r="J42" i="63"/>
  <c r="I42" i="63"/>
  <c r="H42" i="63"/>
  <c r="G42" i="63"/>
  <c r="H35" i="63"/>
  <c r="H29" i="63"/>
  <c r="I29" i="63"/>
  <c r="K29" i="63"/>
  <c r="J29" i="63"/>
  <c r="K23" i="63"/>
  <c r="J23" i="63"/>
  <c r="I23" i="63"/>
  <c r="I18" i="63"/>
  <c r="H18" i="63"/>
  <c r="G18" i="63"/>
  <c r="K18" i="63"/>
  <c r="J18" i="63"/>
  <c r="H14" i="63"/>
  <c r="K14" i="63"/>
  <c r="E15" i="63"/>
  <c r="L15" i="63" s="1"/>
  <c r="D153" i="63"/>
  <c r="D152" i="63" s="1"/>
  <c r="D151" i="63" s="1"/>
  <c r="D145" i="63"/>
  <c r="D144" i="63" s="1"/>
  <c r="D143" i="63"/>
  <c r="D142" i="63" s="1"/>
  <c r="D139" i="63"/>
  <c r="D138" i="63"/>
  <c r="D136" i="63"/>
  <c r="D135" i="63"/>
  <c r="D133" i="63"/>
  <c r="D119" i="63"/>
  <c r="D129" i="63"/>
  <c r="D128" i="63" s="1"/>
  <c r="D127" i="63"/>
  <c r="D125" i="63"/>
  <c r="D124" i="63" s="1"/>
  <c r="D123" i="63"/>
  <c r="D122" i="63"/>
  <c r="D121" i="63"/>
  <c r="D120" i="63"/>
  <c r="D115" i="63"/>
  <c r="D114" i="63"/>
  <c r="D113" i="63"/>
  <c r="D112" i="63"/>
  <c r="D111" i="63"/>
  <c r="D110" i="63"/>
  <c r="D109" i="63"/>
  <c r="D108" i="63"/>
  <c r="D106" i="63"/>
  <c r="D105" i="63"/>
  <c r="D103" i="63"/>
  <c r="D102" i="63"/>
  <c r="D101" i="63"/>
  <c r="D100" i="63"/>
  <c r="D99" i="63"/>
  <c r="D98" i="63"/>
  <c r="D96" i="63"/>
  <c r="D95" i="63" s="1"/>
  <c r="D94" i="63"/>
  <c r="D93" i="63"/>
  <c r="D92" i="63"/>
  <c r="D91" i="63"/>
  <c r="D87" i="63"/>
  <c r="D86" i="63"/>
  <c r="D84" i="63"/>
  <c r="D83" i="63" s="1"/>
  <c r="D82" i="63"/>
  <c r="D81" i="63"/>
  <c r="D80" i="63"/>
  <c r="D79" i="63"/>
  <c r="D78" i="63"/>
  <c r="D76" i="63"/>
  <c r="D75" i="63"/>
  <c r="D74" i="63"/>
  <c r="D72" i="63"/>
  <c r="D71" i="63" s="1"/>
  <c r="D70" i="63"/>
  <c r="D69" i="63"/>
  <c r="D68" i="63"/>
  <c r="D67" i="63"/>
  <c r="D65" i="63"/>
  <c r="D64" i="63"/>
  <c r="D63" i="63"/>
  <c r="D62" i="63"/>
  <c r="D61" i="63"/>
  <c r="D60" i="63"/>
  <c r="D59" i="63"/>
  <c r="D57" i="63"/>
  <c r="D56" i="63"/>
  <c r="D55" i="63"/>
  <c r="D54" i="63"/>
  <c r="D53" i="63"/>
  <c r="D51" i="63"/>
  <c r="D50" i="63"/>
  <c r="D49" i="63"/>
  <c r="D48" i="63"/>
  <c r="D46" i="63"/>
  <c r="D45" i="63"/>
  <c r="D44" i="63"/>
  <c r="D43" i="63"/>
  <c r="D39" i="63"/>
  <c r="D38" i="63"/>
  <c r="D37" i="63"/>
  <c r="D36" i="63"/>
  <c r="D34" i="63"/>
  <c r="D33" i="63"/>
  <c r="D32" i="63"/>
  <c r="D31" i="63"/>
  <c r="D30" i="63"/>
  <c r="D28" i="63"/>
  <c r="D27" i="63"/>
  <c r="D26" i="63"/>
  <c r="D25" i="63"/>
  <c r="D24" i="63"/>
  <c r="D22" i="63"/>
  <c r="D21" i="63"/>
  <c r="D20" i="63"/>
  <c r="D19" i="63"/>
  <c r="D17" i="63"/>
  <c r="D16" i="63"/>
  <c r="D15" i="63"/>
  <c r="K153" i="65"/>
  <c r="L153" i="65" s="1"/>
  <c r="K149" i="65"/>
  <c r="L149" i="65" s="1"/>
  <c r="K145" i="65"/>
  <c r="L145" i="65" s="1"/>
  <c r="K143" i="65"/>
  <c r="K142" i="65" s="1"/>
  <c r="K139" i="65"/>
  <c r="L139" i="65" s="1"/>
  <c r="K138" i="65"/>
  <c r="L138" i="65" s="1"/>
  <c r="K136" i="65"/>
  <c r="L136" i="65" s="1"/>
  <c r="K135" i="65"/>
  <c r="L135" i="65" s="1"/>
  <c r="K133" i="65"/>
  <c r="L133" i="65" s="1"/>
  <c r="K129" i="65"/>
  <c r="L129" i="65" s="1"/>
  <c r="R129" i="65" s="1"/>
  <c r="R128" i="65" s="1"/>
  <c r="K127" i="65"/>
  <c r="L127" i="65" s="1"/>
  <c r="K125" i="65"/>
  <c r="K124" i="65" s="1"/>
  <c r="K123" i="65"/>
  <c r="L123" i="65" s="1"/>
  <c r="R123" i="65" s="1"/>
  <c r="K122" i="65"/>
  <c r="L122" i="65" s="1"/>
  <c r="R122" i="65" s="1"/>
  <c r="K121" i="65"/>
  <c r="L121" i="65" s="1"/>
  <c r="R121" i="65" s="1"/>
  <c r="K120" i="65"/>
  <c r="L120" i="65" s="1"/>
  <c r="R120" i="65" s="1"/>
  <c r="K119" i="65"/>
  <c r="L119" i="65" s="1"/>
  <c r="K115" i="65"/>
  <c r="L115" i="65" s="1"/>
  <c r="K114" i="65"/>
  <c r="L114" i="65" s="1"/>
  <c r="K113" i="65"/>
  <c r="L113" i="65" s="1"/>
  <c r="K112" i="65"/>
  <c r="L112" i="65" s="1"/>
  <c r="K111" i="65"/>
  <c r="L111" i="65" s="1"/>
  <c r="S111" i="65" s="1"/>
  <c r="K110" i="65"/>
  <c r="L110" i="65" s="1"/>
  <c r="K109" i="65"/>
  <c r="L109" i="65" s="1"/>
  <c r="K108" i="65"/>
  <c r="L108" i="65" s="1"/>
  <c r="K106" i="65"/>
  <c r="L106" i="65" s="1"/>
  <c r="K105" i="65"/>
  <c r="K103" i="65"/>
  <c r="L103" i="65" s="1"/>
  <c r="K102" i="65"/>
  <c r="L102" i="65" s="1"/>
  <c r="K101" i="65"/>
  <c r="L101" i="65" s="1"/>
  <c r="K100" i="65"/>
  <c r="L100" i="65" s="1"/>
  <c r="K99" i="65"/>
  <c r="L99" i="65" s="1"/>
  <c r="K98" i="65"/>
  <c r="L98" i="65" s="1"/>
  <c r="K96" i="65"/>
  <c r="L96" i="65" s="1"/>
  <c r="K94" i="65"/>
  <c r="L94" i="65" s="1"/>
  <c r="K93" i="65"/>
  <c r="L93" i="65" s="1"/>
  <c r="K92" i="65"/>
  <c r="L92" i="65" s="1"/>
  <c r="K91" i="65"/>
  <c r="L91" i="65" s="1"/>
  <c r="K87" i="65"/>
  <c r="L87" i="65" s="1"/>
  <c r="K86" i="65"/>
  <c r="L86" i="65" s="1"/>
  <c r="K84" i="65"/>
  <c r="L84" i="65" s="1"/>
  <c r="K82" i="65"/>
  <c r="L82" i="65" s="1"/>
  <c r="R82" i="65" s="1"/>
  <c r="K81" i="65"/>
  <c r="L81" i="65" s="1"/>
  <c r="K80" i="65"/>
  <c r="L80" i="65" s="1"/>
  <c r="K79" i="65"/>
  <c r="L79" i="65" s="1"/>
  <c r="K78" i="65"/>
  <c r="L78" i="65" s="1"/>
  <c r="R78" i="65" s="1"/>
  <c r="K76" i="65"/>
  <c r="L76" i="65" s="1"/>
  <c r="K75" i="65"/>
  <c r="L75" i="65" s="1"/>
  <c r="K74" i="65"/>
  <c r="L74" i="65" s="1"/>
  <c r="K72" i="65"/>
  <c r="L72" i="65" s="1"/>
  <c r="K70" i="65"/>
  <c r="L70" i="65" s="1"/>
  <c r="K69" i="65"/>
  <c r="L69" i="65" s="1"/>
  <c r="K68" i="65"/>
  <c r="L68" i="65" s="1"/>
  <c r="K67" i="65"/>
  <c r="L67" i="65" s="1"/>
  <c r="K65" i="65"/>
  <c r="L65" i="65" s="1"/>
  <c r="K64" i="65"/>
  <c r="L64" i="65" s="1"/>
  <c r="K63" i="65"/>
  <c r="L63" i="65" s="1"/>
  <c r="K62" i="65"/>
  <c r="L62" i="65" s="1"/>
  <c r="K61" i="65"/>
  <c r="L61" i="65" s="1"/>
  <c r="S61" i="65" s="1"/>
  <c r="K60" i="65"/>
  <c r="L60" i="65" s="1"/>
  <c r="K59" i="65"/>
  <c r="L59" i="65" s="1"/>
  <c r="K57" i="65"/>
  <c r="L57" i="65" s="1"/>
  <c r="K56" i="65"/>
  <c r="L56" i="65" s="1"/>
  <c r="K55" i="65"/>
  <c r="L55" i="65" s="1"/>
  <c r="K54" i="65"/>
  <c r="K53" i="65"/>
  <c r="L53" i="65" s="1"/>
  <c r="K51" i="65"/>
  <c r="L51" i="65" s="1"/>
  <c r="K50" i="65"/>
  <c r="L50" i="65" s="1"/>
  <c r="K49" i="65"/>
  <c r="L49" i="65" s="1"/>
  <c r="S49" i="65" s="1"/>
  <c r="K48" i="65"/>
  <c r="L48" i="65" s="1"/>
  <c r="K46" i="65"/>
  <c r="L46" i="65" s="1"/>
  <c r="K45" i="65"/>
  <c r="L45" i="65" s="1"/>
  <c r="K44" i="65"/>
  <c r="L44" i="65" s="1"/>
  <c r="K43" i="65"/>
  <c r="K39" i="65"/>
  <c r="L39" i="65" s="1"/>
  <c r="K38" i="65"/>
  <c r="L38" i="65" s="1"/>
  <c r="K37" i="65"/>
  <c r="L37" i="65" s="1"/>
  <c r="K36" i="65"/>
  <c r="L36" i="65" s="1"/>
  <c r="K34" i="65"/>
  <c r="L34" i="65" s="1"/>
  <c r="K33" i="65"/>
  <c r="L33" i="65" s="1"/>
  <c r="K32" i="65"/>
  <c r="L32" i="65" s="1"/>
  <c r="K31" i="65"/>
  <c r="L31" i="65" s="1"/>
  <c r="K30" i="65"/>
  <c r="K28" i="65"/>
  <c r="L28" i="65" s="1"/>
  <c r="K27" i="65"/>
  <c r="L27" i="65" s="1"/>
  <c r="K26" i="65"/>
  <c r="L26" i="65" s="1"/>
  <c r="S26" i="65" s="1"/>
  <c r="K25" i="65"/>
  <c r="L25" i="65" s="1"/>
  <c r="K24" i="65"/>
  <c r="L24" i="65" s="1"/>
  <c r="S24" i="65" s="1"/>
  <c r="K21" i="65"/>
  <c r="L21" i="65" s="1"/>
  <c r="K20" i="65"/>
  <c r="L20" i="65" s="1"/>
  <c r="R20" i="65" s="1"/>
  <c r="K19" i="65"/>
  <c r="K17" i="65"/>
  <c r="L17" i="65" s="1"/>
  <c r="R17" i="65" s="1"/>
  <c r="K16" i="65"/>
  <c r="L16" i="65" s="1"/>
  <c r="K15" i="65"/>
  <c r="L15" i="65" s="1"/>
  <c r="S15" i="65" s="1"/>
  <c r="S150" i="65"/>
  <c r="Q152" i="65"/>
  <c r="Q151" i="65" s="1"/>
  <c r="I17" i="68" s="1"/>
  <c r="P152" i="65"/>
  <c r="P151" i="65" s="1"/>
  <c r="J152" i="65"/>
  <c r="J151" i="65" s="1"/>
  <c r="I152" i="65"/>
  <c r="I151" i="65" s="1"/>
  <c r="H152" i="65"/>
  <c r="H151" i="65" s="1"/>
  <c r="G152" i="65"/>
  <c r="G151" i="65" s="1"/>
  <c r="F152" i="65"/>
  <c r="F151" i="65" s="1"/>
  <c r="E152" i="65"/>
  <c r="E151" i="65" s="1"/>
  <c r="Q148" i="65"/>
  <c r="Q147" i="65" s="1"/>
  <c r="I16" i="68" s="1"/>
  <c r="P148" i="65"/>
  <c r="P147" i="65" s="1"/>
  <c r="J148" i="65"/>
  <c r="J147" i="65" s="1"/>
  <c r="I148" i="65"/>
  <c r="I147" i="65" s="1"/>
  <c r="H148" i="65"/>
  <c r="H147" i="65" s="1"/>
  <c r="G148" i="65"/>
  <c r="G147" i="65" s="1"/>
  <c r="F148" i="65"/>
  <c r="F147" i="65" s="1"/>
  <c r="E148" i="65"/>
  <c r="E147" i="65" s="1"/>
  <c r="Q144" i="65"/>
  <c r="P144" i="65"/>
  <c r="J144" i="65"/>
  <c r="I144" i="65"/>
  <c r="H144" i="65"/>
  <c r="G144" i="65"/>
  <c r="F144" i="65"/>
  <c r="E144" i="65"/>
  <c r="Q142" i="65"/>
  <c r="P142" i="65"/>
  <c r="J142" i="65"/>
  <c r="I142" i="65"/>
  <c r="H142" i="65"/>
  <c r="G142" i="65"/>
  <c r="F142" i="65"/>
  <c r="E142" i="65"/>
  <c r="Q137" i="65"/>
  <c r="J137" i="65"/>
  <c r="I137" i="65"/>
  <c r="H137" i="65"/>
  <c r="G137" i="65"/>
  <c r="F137" i="65"/>
  <c r="E137" i="65"/>
  <c r="Q134" i="65"/>
  <c r="P134" i="65"/>
  <c r="J134" i="65"/>
  <c r="I134" i="65"/>
  <c r="H134" i="65"/>
  <c r="G134" i="65"/>
  <c r="F134" i="65"/>
  <c r="E134" i="65"/>
  <c r="Q132" i="65"/>
  <c r="P132" i="65"/>
  <c r="J132" i="65"/>
  <c r="I132" i="65"/>
  <c r="H132" i="65"/>
  <c r="G132" i="65"/>
  <c r="F132" i="65"/>
  <c r="E132" i="65"/>
  <c r="Q128" i="65"/>
  <c r="J128" i="65"/>
  <c r="I128" i="65"/>
  <c r="H128" i="65"/>
  <c r="G128" i="65"/>
  <c r="F128" i="65"/>
  <c r="E128" i="65"/>
  <c r="Q126" i="65"/>
  <c r="P126" i="65"/>
  <c r="J126" i="65"/>
  <c r="I126" i="65"/>
  <c r="H126" i="65"/>
  <c r="G126" i="65"/>
  <c r="F126" i="65"/>
  <c r="E126" i="65"/>
  <c r="Q124" i="65"/>
  <c r="P124" i="65"/>
  <c r="J124" i="65"/>
  <c r="I124" i="65"/>
  <c r="H124" i="65"/>
  <c r="G124" i="65"/>
  <c r="F124" i="65"/>
  <c r="E124" i="65"/>
  <c r="Q118" i="65"/>
  <c r="P118" i="65"/>
  <c r="J118" i="65"/>
  <c r="I118" i="65"/>
  <c r="H118" i="65"/>
  <c r="G118" i="65"/>
  <c r="F118" i="65"/>
  <c r="E118" i="65"/>
  <c r="Q107" i="65"/>
  <c r="P107" i="65"/>
  <c r="J107" i="65"/>
  <c r="I107" i="65"/>
  <c r="H107" i="65"/>
  <c r="G107" i="65"/>
  <c r="F107" i="65"/>
  <c r="E107" i="65"/>
  <c r="Q104" i="65"/>
  <c r="P104" i="65"/>
  <c r="J104" i="65"/>
  <c r="I104" i="65"/>
  <c r="H104" i="65"/>
  <c r="G104" i="65"/>
  <c r="F104" i="65"/>
  <c r="E104" i="65"/>
  <c r="Q97" i="65"/>
  <c r="P97" i="65"/>
  <c r="J97" i="65"/>
  <c r="I97" i="65"/>
  <c r="H97" i="65"/>
  <c r="G97" i="65"/>
  <c r="F97" i="65"/>
  <c r="E97" i="65"/>
  <c r="Q95" i="65"/>
  <c r="P95" i="65"/>
  <c r="J95" i="65"/>
  <c r="I95" i="65"/>
  <c r="H95" i="65"/>
  <c r="G95" i="65"/>
  <c r="F95" i="65"/>
  <c r="E95" i="65"/>
  <c r="Q90" i="65"/>
  <c r="P90" i="65"/>
  <c r="J90" i="65"/>
  <c r="I90" i="65"/>
  <c r="H90" i="65"/>
  <c r="G90" i="65"/>
  <c r="F90" i="65"/>
  <c r="E90" i="65"/>
  <c r="Q85" i="65"/>
  <c r="P85" i="65"/>
  <c r="J85" i="65"/>
  <c r="I85" i="65"/>
  <c r="H85" i="65"/>
  <c r="G85" i="65"/>
  <c r="F85" i="65"/>
  <c r="E85" i="65"/>
  <c r="Q83" i="65"/>
  <c r="P83" i="65"/>
  <c r="J83" i="65"/>
  <c r="I83" i="65"/>
  <c r="H83" i="65"/>
  <c r="G83" i="65"/>
  <c r="F83" i="65"/>
  <c r="E83" i="65"/>
  <c r="Q77" i="65"/>
  <c r="P77" i="65"/>
  <c r="J77" i="65"/>
  <c r="I77" i="65"/>
  <c r="H77" i="65"/>
  <c r="G77" i="65"/>
  <c r="F77" i="65"/>
  <c r="E77" i="65"/>
  <c r="Q73" i="65"/>
  <c r="J73" i="65"/>
  <c r="I73" i="65"/>
  <c r="H73" i="65"/>
  <c r="G73" i="65"/>
  <c r="F73" i="65"/>
  <c r="E73" i="65"/>
  <c r="Q71" i="65"/>
  <c r="P71" i="65"/>
  <c r="J71" i="65"/>
  <c r="I71" i="65"/>
  <c r="H71" i="65"/>
  <c r="G71" i="65"/>
  <c r="F71" i="65"/>
  <c r="E71" i="65"/>
  <c r="Q66" i="65"/>
  <c r="J66" i="65"/>
  <c r="I66" i="65"/>
  <c r="H66" i="65"/>
  <c r="G66" i="65"/>
  <c r="F66" i="65"/>
  <c r="E66" i="65"/>
  <c r="Q58" i="65"/>
  <c r="J58" i="65"/>
  <c r="I58" i="65"/>
  <c r="H58" i="65"/>
  <c r="G58" i="65"/>
  <c r="F58" i="65"/>
  <c r="E58" i="65"/>
  <c r="Q52" i="65"/>
  <c r="J52" i="65"/>
  <c r="I52" i="65"/>
  <c r="H52" i="65"/>
  <c r="G52" i="65"/>
  <c r="F52" i="65"/>
  <c r="E52" i="65"/>
  <c r="Q47" i="65"/>
  <c r="P47" i="65"/>
  <c r="J47" i="65"/>
  <c r="I47" i="65"/>
  <c r="H47" i="65"/>
  <c r="G47" i="65"/>
  <c r="F47" i="65"/>
  <c r="E47" i="65"/>
  <c r="Q42" i="65"/>
  <c r="P42" i="65"/>
  <c r="J42" i="65"/>
  <c r="I42" i="65"/>
  <c r="H42" i="65"/>
  <c r="G42" i="65"/>
  <c r="F42" i="65"/>
  <c r="E42" i="65"/>
  <c r="Q35" i="65"/>
  <c r="J35" i="65"/>
  <c r="I35" i="65"/>
  <c r="H35" i="65"/>
  <c r="G35" i="65"/>
  <c r="F35" i="65"/>
  <c r="E35" i="65"/>
  <c r="Q29" i="65"/>
  <c r="J29" i="65"/>
  <c r="I29" i="65"/>
  <c r="H29" i="65"/>
  <c r="G29" i="65"/>
  <c r="F29" i="65"/>
  <c r="E29" i="65"/>
  <c r="J23" i="65"/>
  <c r="I23" i="65"/>
  <c r="H23" i="65"/>
  <c r="G23" i="65"/>
  <c r="F23" i="65"/>
  <c r="E23" i="65"/>
  <c r="Q18" i="65"/>
  <c r="J18" i="65"/>
  <c r="I18" i="65"/>
  <c r="H18" i="65"/>
  <c r="G18" i="65"/>
  <c r="F18" i="65"/>
  <c r="E18" i="65"/>
  <c r="Q14" i="65"/>
  <c r="J14" i="65"/>
  <c r="I14" i="65"/>
  <c r="H14" i="65"/>
  <c r="G14" i="65"/>
  <c r="F14" i="65"/>
  <c r="E14" i="65"/>
  <c r="L55" i="49"/>
  <c r="L54" i="49"/>
  <c r="L16" i="49"/>
  <c r="R16" i="49" s="1"/>
  <c r="K153" i="49"/>
  <c r="K152" i="49" s="1"/>
  <c r="K151" i="49" s="1"/>
  <c r="K148" i="49"/>
  <c r="K147" i="49" s="1"/>
  <c r="K136" i="49"/>
  <c r="L136" i="49" s="1"/>
  <c r="R136" i="49" s="1"/>
  <c r="K135" i="49"/>
  <c r="L135" i="49" s="1"/>
  <c r="K134" i="49"/>
  <c r="K133" i="49"/>
  <c r="L133" i="49" s="1"/>
  <c r="R133" i="49" s="1"/>
  <c r="K132" i="49"/>
  <c r="K123" i="49"/>
  <c r="K122" i="49"/>
  <c r="L122" i="49" s="1"/>
  <c r="K121" i="49"/>
  <c r="L121" i="49" s="1"/>
  <c r="R121" i="49" s="1"/>
  <c r="K120" i="49"/>
  <c r="L120" i="49" s="1"/>
  <c r="R120" i="49" s="1"/>
  <c r="K119" i="49"/>
  <c r="L119" i="49" s="1"/>
  <c r="K115" i="49"/>
  <c r="L115" i="49" s="1"/>
  <c r="R115" i="49" s="1"/>
  <c r="K114" i="49"/>
  <c r="L114" i="49" s="1"/>
  <c r="R114" i="49" s="1"/>
  <c r="K113" i="49"/>
  <c r="L113" i="49" s="1"/>
  <c r="R113" i="49" s="1"/>
  <c r="K112" i="49"/>
  <c r="L112" i="49" s="1"/>
  <c r="K111" i="49"/>
  <c r="L111" i="49" s="1"/>
  <c r="K110" i="49"/>
  <c r="L110" i="49" s="1"/>
  <c r="R110" i="49" s="1"/>
  <c r="K109" i="49"/>
  <c r="L109" i="49" s="1"/>
  <c r="R109" i="49" s="1"/>
  <c r="K108" i="49"/>
  <c r="L108" i="49" s="1"/>
  <c r="R108" i="49" s="1"/>
  <c r="K105" i="49"/>
  <c r="K104" i="49" s="1"/>
  <c r="K103" i="49"/>
  <c r="L103" i="49" s="1"/>
  <c r="K102" i="49"/>
  <c r="L102" i="49" s="1"/>
  <c r="K101" i="49"/>
  <c r="L101" i="49" s="1"/>
  <c r="R101" i="49" s="1"/>
  <c r="K100" i="49"/>
  <c r="L100" i="49" s="1"/>
  <c r="K99" i="49"/>
  <c r="L99" i="49" s="1"/>
  <c r="K98" i="49"/>
  <c r="K96" i="49"/>
  <c r="K95" i="49" s="1"/>
  <c r="K94" i="49"/>
  <c r="L94" i="49" s="1"/>
  <c r="R94" i="49" s="1"/>
  <c r="K93" i="49"/>
  <c r="L93" i="49" s="1"/>
  <c r="R93" i="49" s="1"/>
  <c r="K92" i="49"/>
  <c r="L92" i="49" s="1"/>
  <c r="K91" i="49"/>
  <c r="L91" i="49" s="1"/>
  <c r="R91" i="49" s="1"/>
  <c r="K87" i="49"/>
  <c r="L87" i="49" s="1"/>
  <c r="R87" i="49" s="1"/>
  <c r="K86" i="49"/>
  <c r="L86" i="49" s="1"/>
  <c r="K84" i="49"/>
  <c r="K83" i="49" s="1"/>
  <c r="K82" i="49"/>
  <c r="L82" i="49" s="1"/>
  <c r="R82" i="49" s="1"/>
  <c r="K81" i="49"/>
  <c r="L81" i="49" s="1"/>
  <c r="R81" i="49" s="1"/>
  <c r="K80" i="49"/>
  <c r="L80" i="49" s="1"/>
  <c r="K79" i="49"/>
  <c r="L79" i="49" s="1"/>
  <c r="R79" i="49" s="1"/>
  <c r="K78" i="49"/>
  <c r="L78" i="49" s="1"/>
  <c r="R78" i="49" s="1"/>
  <c r="K76" i="49"/>
  <c r="L76" i="49" s="1"/>
  <c r="K75" i="49"/>
  <c r="L75" i="49" s="1"/>
  <c r="R75" i="49" s="1"/>
  <c r="K74" i="49"/>
  <c r="L74" i="49" s="1"/>
  <c r="R74" i="49" s="1"/>
  <c r="K72" i="49"/>
  <c r="L72" i="49" s="1"/>
  <c r="K70" i="49"/>
  <c r="L70" i="49" s="1"/>
  <c r="K69" i="49"/>
  <c r="K68" i="49"/>
  <c r="L68" i="49" s="1"/>
  <c r="K67" i="49"/>
  <c r="L67" i="49" s="1"/>
  <c r="K65" i="49"/>
  <c r="L65" i="49" s="1"/>
  <c r="R65" i="49" s="1"/>
  <c r="K64" i="49"/>
  <c r="L64" i="49" s="1"/>
  <c r="K63" i="49"/>
  <c r="L63" i="49" s="1"/>
  <c r="R63" i="49" s="1"/>
  <c r="K62" i="49"/>
  <c r="L62" i="49" s="1"/>
  <c r="R62" i="49" s="1"/>
  <c r="K61" i="49"/>
  <c r="L61" i="49" s="1"/>
  <c r="K60" i="49"/>
  <c r="K59" i="49"/>
  <c r="L59" i="49" s="1"/>
  <c r="K57" i="49"/>
  <c r="L57" i="49" s="1"/>
  <c r="R57" i="49" s="1"/>
  <c r="K56" i="49"/>
  <c r="L56" i="49" s="1"/>
  <c r="K55" i="49"/>
  <c r="K54" i="49"/>
  <c r="K53" i="49"/>
  <c r="L53" i="49" s="1"/>
  <c r="K51" i="49"/>
  <c r="L51" i="49" s="1"/>
  <c r="R51" i="49" s="1"/>
  <c r="K50" i="49"/>
  <c r="L50" i="49" s="1"/>
  <c r="K49" i="49"/>
  <c r="L49" i="49" s="1"/>
  <c r="R49" i="49" s="1"/>
  <c r="K48" i="49"/>
  <c r="L48" i="49" s="1"/>
  <c r="R48" i="49" s="1"/>
  <c r="K46" i="49"/>
  <c r="L46" i="49" s="1"/>
  <c r="R46" i="49" s="1"/>
  <c r="K45" i="49"/>
  <c r="L45" i="49" s="1"/>
  <c r="R45" i="49" s="1"/>
  <c r="K44" i="49"/>
  <c r="L44" i="49" s="1"/>
  <c r="K43" i="49"/>
  <c r="L43" i="49" s="1"/>
  <c r="R43" i="49" s="1"/>
  <c r="K39" i="49"/>
  <c r="K38" i="49"/>
  <c r="L38" i="49" s="1"/>
  <c r="K37" i="49"/>
  <c r="L37" i="49" s="1"/>
  <c r="K36" i="49"/>
  <c r="L36" i="49" s="1"/>
  <c r="R36" i="49" s="1"/>
  <c r="K34" i="49"/>
  <c r="L34" i="49" s="1"/>
  <c r="K33" i="49"/>
  <c r="L33" i="49" s="1"/>
  <c r="R33" i="49" s="1"/>
  <c r="K32" i="49"/>
  <c r="L32" i="49" s="1"/>
  <c r="R32" i="49" s="1"/>
  <c r="K31" i="49"/>
  <c r="L31" i="49" s="1"/>
  <c r="K30" i="49"/>
  <c r="K28" i="49"/>
  <c r="L28" i="49" s="1"/>
  <c r="R28" i="49" s="1"/>
  <c r="K27" i="49"/>
  <c r="L27" i="49" s="1"/>
  <c r="K26" i="49"/>
  <c r="L26" i="49" s="1"/>
  <c r="K25" i="49"/>
  <c r="L25" i="49" s="1"/>
  <c r="K24" i="49"/>
  <c r="L24" i="49" s="1"/>
  <c r="R24" i="49" s="1"/>
  <c r="K21" i="49"/>
  <c r="L21" i="49" s="1"/>
  <c r="R21" i="49" s="1"/>
  <c r="K20" i="49"/>
  <c r="L20" i="49" s="1"/>
  <c r="R20" i="49" s="1"/>
  <c r="K19" i="49"/>
  <c r="L19" i="49" s="1"/>
  <c r="R19" i="49" s="1"/>
  <c r="K17" i="49"/>
  <c r="K16" i="49"/>
  <c r="K15" i="49"/>
  <c r="L15" i="49" s="1"/>
  <c r="S150" i="49"/>
  <c r="S139" i="49"/>
  <c r="S138" i="49"/>
  <c r="S106" i="49"/>
  <c r="Q152" i="49"/>
  <c r="Q151" i="49" s="1"/>
  <c r="F17" i="68" s="1"/>
  <c r="P152" i="49"/>
  <c r="P151" i="49" s="1"/>
  <c r="J152" i="49"/>
  <c r="J151" i="49" s="1"/>
  <c r="H152" i="49"/>
  <c r="H151" i="49" s="1"/>
  <c r="G152" i="49"/>
  <c r="G151" i="49" s="1"/>
  <c r="F152" i="49"/>
  <c r="F151" i="49" s="1"/>
  <c r="E152" i="49"/>
  <c r="E151" i="49" s="1"/>
  <c r="Q148" i="49"/>
  <c r="Q147" i="49" s="1"/>
  <c r="F16" i="68" s="1"/>
  <c r="P148" i="49"/>
  <c r="P147" i="49" s="1"/>
  <c r="J148" i="49"/>
  <c r="J147" i="49" s="1"/>
  <c r="H148" i="49"/>
  <c r="H147" i="49" s="1"/>
  <c r="G148" i="49"/>
  <c r="G147" i="49" s="1"/>
  <c r="F148" i="49"/>
  <c r="F147" i="49" s="1"/>
  <c r="E148" i="49"/>
  <c r="E147" i="49" s="1"/>
  <c r="Q144" i="49"/>
  <c r="P144" i="49"/>
  <c r="K144" i="49"/>
  <c r="J144" i="49"/>
  <c r="H144" i="49"/>
  <c r="G144" i="49"/>
  <c r="F144" i="49"/>
  <c r="E144" i="49"/>
  <c r="Q142" i="49"/>
  <c r="P142" i="49"/>
  <c r="L142" i="49"/>
  <c r="K142" i="49"/>
  <c r="J142" i="49"/>
  <c r="H142" i="49"/>
  <c r="G142" i="49"/>
  <c r="F142" i="49"/>
  <c r="E142" i="49"/>
  <c r="R137" i="49"/>
  <c r="Q137" i="49"/>
  <c r="L137" i="49"/>
  <c r="K137" i="49"/>
  <c r="J137" i="49"/>
  <c r="H137" i="49"/>
  <c r="G137" i="49"/>
  <c r="F137" i="49"/>
  <c r="E137" i="49"/>
  <c r="Q118" i="49"/>
  <c r="Q117" i="49" s="1"/>
  <c r="P118" i="49"/>
  <c r="P117" i="49" s="1"/>
  <c r="J118" i="49"/>
  <c r="H118" i="49"/>
  <c r="G118" i="49"/>
  <c r="G117" i="49" s="1"/>
  <c r="F118" i="49"/>
  <c r="F117" i="49" s="1"/>
  <c r="E118" i="49"/>
  <c r="E117" i="49" s="1"/>
  <c r="Q107" i="49"/>
  <c r="J107" i="49"/>
  <c r="H107" i="49"/>
  <c r="G107" i="49"/>
  <c r="F107" i="49"/>
  <c r="E107" i="49"/>
  <c r="Q104" i="49"/>
  <c r="J104" i="49"/>
  <c r="H104" i="49"/>
  <c r="G104" i="49"/>
  <c r="F104" i="49"/>
  <c r="E104" i="49"/>
  <c r="J97" i="49"/>
  <c r="H97" i="49"/>
  <c r="G97" i="49"/>
  <c r="F97" i="49"/>
  <c r="E97" i="49"/>
  <c r="Q95" i="49"/>
  <c r="J95" i="49"/>
  <c r="H95" i="49"/>
  <c r="G95" i="49"/>
  <c r="F95" i="49"/>
  <c r="E95" i="49"/>
  <c r="Q90" i="49"/>
  <c r="J90" i="49"/>
  <c r="H90" i="49"/>
  <c r="G90" i="49"/>
  <c r="F90" i="49"/>
  <c r="E90" i="49"/>
  <c r="Q85" i="49"/>
  <c r="P85" i="49"/>
  <c r="J85" i="49"/>
  <c r="H85" i="49"/>
  <c r="G85" i="49"/>
  <c r="F85" i="49"/>
  <c r="E85" i="49"/>
  <c r="Q83" i="49"/>
  <c r="P83" i="49"/>
  <c r="J83" i="49"/>
  <c r="H83" i="49"/>
  <c r="G83" i="49"/>
  <c r="F83" i="49"/>
  <c r="E83" i="49"/>
  <c r="Q77" i="49"/>
  <c r="P77" i="49"/>
  <c r="J77" i="49"/>
  <c r="H77" i="49"/>
  <c r="G77" i="49"/>
  <c r="F77" i="49"/>
  <c r="E77" i="49"/>
  <c r="Q73" i="49"/>
  <c r="J73" i="49"/>
  <c r="H73" i="49"/>
  <c r="G73" i="49"/>
  <c r="F73" i="49"/>
  <c r="E73" i="49"/>
  <c r="Q71" i="49"/>
  <c r="P71" i="49"/>
  <c r="J71" i="49"/>
  <c r="H71" i="49"/>
  <c r="G71" i="49"/>
  <c r="F71" i="49"/>
  <c r="E71" i="49"/>
  <c r="Q66" i="49"/>
  <c r="J66" i="49"/>
  <c r="H66" i="49"/>
  <c r="G66" i="49"/>
  <c r="F66" i="49"/>
  <c r="E66" i="49"/>
  <c r="Q58" i="49"/>
  <c r="J58" i="49"/>
  <c r="H58" i="49"/>
  <c r="G58" i="49"/>
  <c r="F58" i="49"/>
  <c r="E58" i="49"/>
  <c r="Q52" i="49"/>
  <c r="J52" i="49"/>
  <c r="H52" i="49"/>
  <c r="G52" i="49"/>
  <c r="F52" i="49"/>
  <c r="E52" i="49"/>
  <c r="Q47" i="49"/>
  <c r="J47" i="49"/>
  <c r="H47" i="49"/>
  <c r="G47" i="49"/>
  <c r="F47" i="49"/>
  <c r="E47" i="49"/>
  <c r="Q42" i="49"/>
  <c r="J42" i="49"/>
  <c r="H42" i="49"/>
  <c r="G42" i="49"/>
  <c r="F42" i="49"/>
  <c r="E42" i="49"/>
  <c r="Q35" i="49"/>
  <c r="J35" i="49"/>
  <c r="H35" i="49"/>
  <c r="G35" i="49"/>
  <c r="F35" i="49"/>
  <c r="E35" i="49"/>
  <c r="Q29" i="49"/>
  <c r="J29" i="49"/>
  <c r="H29" i="49"/>
  <c r="G29" i="49"/>
  <c r="F29" i="49"/>
  <c r="E29" i="49"/>
  <c r="Q23" i="49"/>
  <c r="J23" i="49"/>
  <c r="H23" i="49"/>
  <c r="G23" i="49"/>
  <c r="F23" i="49"/>
  <c r="E23" i="49"/>
  <c r="Q18" i="49"/>
  <c r="J18" i="49"/>
  <c r="H18" i="49"/>
  <c r="G18" i="49"/>
  <c r="F18" i="49"/>
  <c r="E18" i="49"/>
  <c r="Q14" i="49"/>
  <c r="P14" i="49"/>
  <c r="J14" i="49"/>
  <c r="H14" i="49"/>
  <c r="G14" i="49"/>
  <c r="F14" i="49"/>
  <c r="E14" i="49"/>
  <c r="H131" i="63" l="1"/>
  <c r="J131" i="63"/>
  <c r="K131" i="63"/>
  <c r="G131" i="63"/>
  <c r="E131" i="65"/>
  <c r="K42" i="65"/>
  <c r="K29" i="65"/>
  <c r="G131" i="65"/>
  <c r="J131" i="65"/>
  <c r="F131" i="65"/>
  <c r="H131" i="65"/>
  <c r="I131" i="65"/>
  <c r="S133" i="49"/>
  <c r="R135" i="49"/>
  <c r="L134" i="49"/>
  <c r="E131" i="49"/>
  <c r="F131" i="49"/>
  <c r="H131" i="49"/>
  <c r="J131" i="49"/>
  <c r="K71" i="49"/>
  <c r="K131" i="49"/>
  <c r="G131" i="49"/>
  <c r="Q131" i="65"/>
  <c r="I15" i="68" s="1"/>
  <c r="Q131" i="49"/>
  <c r="F15" i="68" s="1"/>
  <c r="K128" i="65"/>
  <c r="S38" i="65"/>
  <c r="R38" i="65"/>
  <c r="K18" i="65"/>
  <c r="K35" i="65"/>
  <c r="K134" i="65"/>
  <c r="K152" i="65"/>
  <c r="K151" i="65" s="1"/>
  <c r="K144" i="65"/>
  <c r="M106" i="63"/>
  <c r="S59" i="49"/>
  <c r="R59" i="49"/>
  <c r="S100" i="49"/>
  <c r="R100" i="49"/>
  <c r="R72" i="49"/>
  <c r="R71" i="49" s="1"/>
  <c r="R37" i="49"/>
  <c r="S37" i="49"/>
  <c r="S54" i="49"/>
  <c r="R54" i="49"/>
  <c r="S112" i="49"/>
  <c r="R112" i="49"/>
  <c r="S34" i="49"/>
  <c r="R34" i="49"/>
  <c r="S61" i="49"/>
  <c r="R61" i="49"/>
  <c r="S102" i="49"/>
  <c r="R102" i="49"/>
  <c r="S27" i="49"/>
  <c r="R27" i="49"/>
  <c r="S31" i="49"/>
  <c r="R31" i="49"/>
  <c r="S99" i="49"/>
  <c r="R99" i="49"/>
  <c r="S55" i="49"/>
  <c r="R55" i="49"/>
  <c r="S103" i="49"/>
  <c r="R103" i="49"/>
  <c r="S111" i="49"/>
  <c r="R111" i="49"/>
  <c r="S25" i="49"/>
  <c r="R25" i="49"/>
  <c r="S76" i="49"/>
  <c r="R76" i="49"/>
  <c r="R73" i="49" s="1"/>
  <c r="S92" i="49"/>
  <c r="R92" i="49"/>
  <c r="R90" i="49" s="1"/>
  <c r="S26" i="49"/>
  <c r="R26" i="49"/>
  <c r="S38" i="49"/>
  <c r="R38" i="49"/>
  <c r="S53" i="49"/>
  <c r="R53" i="49"/>
  <c r="S64" i="49"/>
  <c r="R64" i="49"/>
  <c r="D77" i="63"/>
  <c r="D137" i="63"/>
  <c r="S137" i="49"/>
  <c r="S56" i="49"/>
  <c r="R56" i="49"/>
  <c r="S50" i="49"/>
  <c r="R50" i="49"/>
  <c r="K77" i="65"/>
  <c r="L143" i="65"/>
  <c r="R143" i="65" s="1"/>
  <c r="R142" i="65" s="1"/>
  <c r="R136" i="65"/>
  <c r="S136" i="65"/>
  <c r="K104" i="65"/>
  <c r="K95" i="65"/>
  <c r="S44" i="49"/>
  <c r="R44" i="49"/>
  <c r="S68" i="49"/>
  <c r="R68" i="49"/>
  <c r="S70" i="49"/>
  <c r="R70" i="49"/>
  <c r="S67" i="49"/>
  <c r="R67" i="49"/>
  <c r="K85" i="49"/>
  <c r="D85" i="63"/>
  <c r="S86" i="49"/>
  <c r="R86" i="49"/>
  <c r="S80" i="49"/>
  <c r="R80" i="49"/>
  <c r="R77" i="49" s="1"/>
  <c r="D126" i="63"/>
  <c r="R127" i="49"/>
  <c r="S127" i="49"/>
  <c r="L126" i="49"/>
  <c r="S142" i="49"/>
  <c r="S135" i="49"/>
  <c r="L47" i="49"/>
  <c r="S47" i="49" s="1"/>
  <c r="S48" i="49"/>
  <c r="S15" i="49"/>
  <c r="R15" i="49"/>
  <c r="S49" i="49"/>
  <c r="S57" i="49"/>
  <c r="S93" i="49"/>
  <c r="L153" i="49"/>
  <c r="R153" i="49" s="1"/>
  <c r="R152" i="49" s="1"/>
  <c r="R151" i="49" s="1"/>
  <c r="S121" i="49"/>
  <c r="L105" i="49"/>
  <c r="S53" i="65"/>
  <c r="R53" i="65"/>
  <c r="R65" i="65"/>
  <c r="S65" i="65"/>
  <c r="R44" i="65"/>
  <c r="S44" i="65"/>
  <c r="R27" i="65"/>
  <c r="S27" i="65"/>
  <c r="R60" i="65"/>
  <c r="S60" i="65"/>
  <c r="S106" i="65"/>
  <c r="R106" i="65"/>
  <c r="S28" i="65"/>
  <c r="R28" i="65"/>
  <c r="R145" i="65"/>
  <c r="R144" i="65" s="1"/>
  <c r="L144" i="65"/>
  <c r="S144" i="65" s="1"/>
  <c r="S145" i="65"/>
  <c r="K47" i="65"/>
  <c r="L19" i="65"/>
  <c r="L18" i="65" s="1"/>
  <c r="S18" i="65" s="1"/>
  <c r="M125" i="63"/>
  <c r="K73" i="65"/>
  <c r="M61" i="63"/>
  <c r="K85" i="65"/>
  <c r="R15" i="65"/>
  <c r="M27" i="63"/>
  <c r="M54" i="63"/>
  <c r="L125" i="65"/>
  <c r="S125" i="65" s="1"/>
  <c r="K52" i="65"/>
  <c r="K126" i="65"/>
  <c r="K132" i="65"/>
  <c r="K58" i="65"/>
  <c r="K107" i="65"/>
  <c r="S81" i="49"/>
  <c r="S33" i="49"/>
  <c r="L18" i="49"/>
  <c r="S18" i="49" s="1"/>
  <c r="S28" i="49"/>
  <c r="K66" i="49"/>
  <c r="L69" i="49"/>
  <c r="S20" i="49"/>
  <c r="S21" i="49"/>
  <c r="S82" i="49"/>
  <c r="S74" i="49"/>
  <c r="S87" i="49"/>
  <c r="K35" i="49"/>
  <c r="L39" i="49"/>
  <c r="S63" i="49"/>
  <c r="L90" i="49"/>
  <c r="S90" i="49" s="1"/>
  <c r="S115" i="49"/>
  <c r="S46" i="49"/>
  <c r="S91" i="49"/>
  <c r="S119" i="49"/>
  <c r="K29" i="49"/>
  <c r="L30" i="49"/>
  <c r="K14" i="49"/>
  <c r="L17" i="49"/>
  <c r="S65" i="49"/>
  <c r="K77" i="49"/>
  <c r="L85" i="49"/>
  <c r="S85" i="49" s="1"/>
  <c r="L77" i="49"/>
  <c r="S77" i="49" s="1"/>
  <c r="S51" i="49"/>
  <c r="S62" i="49"/>
  <c r="S114" i="49"/>
  <c r="S101" i="49"/>
  <c r="K18" i="49"/>
  <c r="L71" i="49"/>
  <c r="S71" i="49" s="1"/>
  <c r="S94" i="49"/>
  <c r="R122" i="49"/>
  <c r="S122" i="49"/>
  <c r="S16" i="49"/>
  <c r="K47" i="49"/>
  <c r="K58" i="49"/>
  <c r="K73" i="49"/>
  <c r="K107" i="49"/>
  <c r="S109" i="49"/>
  <c r="S110" i="49"/>
  <c r="L84" i="49"/>
  <c r="R84" i="49" s="1"/>
  <c r="K42" i="49"/>
  <c r="K97" i="49"/>
  <c r="S75" i="49"/>
  <c r="L60" i="49"/>
  <c r="R60" i="49" s="1"/>
  <c r="S78" i="49"/>
  <c r="S120" i="49"/>
  <c r="M112" i="63"/>
  <c r="S108" i="49"/>
  <c r="S24" i="49"/>
  <c r="L107" i="49"/>
  <c r="S107" i="49" s="1"/>
  <c r="K90" i="49"/>
  <c r="K118" i="49"/>
  <c r="K117" i="49" s="1"/>
  <c r="L96" i="49"/>
  <c r="L123" i="49"/>
  <c r="S79" i="49"/>
  <c r="K52" i="49"/>
  <c r="S36" i="49"/>
  <c r="K23" i="49"/>
  <c r="L98" i="49"/>
  <c r="R98" i="49" s="1"/>
  <c r="M19" i="63"/>
  <c r="M121" i="63"/>
  <c r="M46" i="63"/>
  <c r="E83" i="63"/>
  <c r="M74" i="63"/>
  <c r="D35" i="63"/>
  <c r="M57" i="63"/>
  <c r="M94" i="63"/>
  <c r="M28" i="63"/>
  <c r="M15" i="63"/>
  <c r="D90" i="63"/>
  <c r="E73" i="63"/>
  <c r="M43" i="63"/>
  <c r="D18" i="63"/>
  <c r="M68" i="63"/>
  <c r="M55" i="63"/>
  <c r="D14" i="63"/>
  <c r="D42" i="63"/>
  <c r="D66" i="63"/>
  <c r="E47" i="63"/>
  <c r="M63" i="63"/>
  <c r="D97" i="63"/>
  <c r="E95" i="63"/>
  <c r="M38" i="63"/>
  <c r="M56" i="63"/>
  <c r="M92" i="63"/>
  <c r="E124" i="63"/>
  <c r="M22" i="63"/>
  <c r="M81" i="63"/>
  <c r="M101" i="63"/>
  <c r="M62" i="63"/>
  <c r="M108" i="63"/>
  <c r="M37" i="63"/>
  <c r="M91" i="63"/>
  <c r="M115" i="63"/>
  <c r="M31" i="63"/>
  <c r="M64" i="63"/>
  <c r="M110" i="63"/>
  <c r="M39" i="63"/>
  <c r="M120" i="63"/>
  <c r="E85" i="63"/>
  <c r="M82" i="63"/>
  <c r="D23" i="63"/>
  <c r="M32" i="63"/>
  <c r="M65" i="63"/>
  <c r="D104" i="63"/>
  <c r="M33" i="63"/>
  <c r="M51" i="63"/>
  <c r="M76" i="63"/>
  <c r="M26" i="63"/>
  <c r="D107" i="63"/>
  <c r="E142" i="63"/>
  <c r="M53" i="63"/>
  <c r="M113" i="63"/>
  <c r="L145" i="63"/>
  <c r="L144" i="63" s="1"/>
  <c r="E144" i="63"/>
  <c r="E52" i="63"/>
  <c r="M84" i="63"/>
  <c r="L149" i="63"/>
  <c r="L148" i="63" s="1"/>
  <c r="L147" i="63" s="1"/>
  <c r="M70" i="63"/>
  <c r="L129" i="63"/>
  <c r="L128" i="63" s="1"/>
  <c r="D47" i="63"/>
  <c r="D73" i="63"/>
  <c r="M21" i="63"/>
  <c r="M69" i="63"/>
  <c r="E29" i="63"/>
  <c r="M80" i="63"/>
  <c r="L105" i="63"/>
  <c r="L104" i="63" s="1"/>
  <c r="E104" i="63"/>
  <c r="E132" i="63"/>
  <c r="L133" i="63"/>
  <c r="L132" i="63" s="1"/>
  <c r="M79" i="63"/>
  <c r="E97" i="63"/>
  <c r="L72" i="63"/>
  <c r="M72" i="63" s="1"/>
  <c r="E71" i="63"/>
  <c r="D134" i="63"/>
  <c r="M16" i="63"/>
  <c r="M100" i="63"/>
  <c r="D52" i="63"/>
  <c r="M49" i="63"/>
  <c r="M25" i="63"/>
  <c r="M114" i="63"/>
  <c r="M17" i="63"/>
  <c r="M93" i="63"/>
  <c r="D29" i="63"/>
  <c r="M50" i="63"/>
  <c r="M109" i="63"/>
  <c r="D58" i="63"/>
  <c r="M34" i="63"/>
  <c r="M44" i="63"/>
  <c r="M102" i="63"/>
  <c r="M136" i="63"/>
  <c r="E58" i="63"/>
  <c r="E35" i="63"/>
  <c r="M45" i="63"/>
  <c r="E66" i="63"/>
  <c r="M103" i="63"/>
  <c r="L36" i="63"/>
  <c r="L35" i="63" s="1"/>
  <c r="M60" i="63"/>
  <c r="M87" i="63"/>
  <c r="E107" i="63"/>
  <c r="S136" i="49"/>
  <c r="R144" i="49"/>
  <c r="L144" i="49"/>
  <c r="S144" i="49" s="1"/>
  <c r="M153" i="63"/>
  <c r="L152" i="63"/>
  <c r="L151" i="63" s="1"/>
  <c r="E152" i="63"/>
  <c r="E151" i="63" s="1"/>
  <c r="M139" i="63"/>
  <c r="S129" i="65"/>
  <c r="D148" i="63"/>
  <c r="D147" i="63" s="1"/>
  <c r="D132" i="63"/>
  <c r="M123" i="63"/>
  <c r="M122" i="63"/>
  <c r="M143" i="63"/>
  <c r="L137" i="63"/>
  <c r="M138" i="63"/>
  <c r="E137" i="63"/>
  <c r="M135" i="63"/>
  <c r="L134" i="63"/>
  <c r="J117" i="63"/>
  <c r="L127" i="63"/>
  <c r="M127" i="63" s="1"/>
  <c r="K117" i="63"/>
  <c r="L124" i="63"/>
  <c r="L118" i="63"/>
  <c r="M119" i="63"/>
  <c r="E118" i="63"/>
  <c r="L111" i="63"/>
  <c r="M111" i="63" s="1"/>
  <c r="M98" i="63"/>
  <c r="L99" i="63"/>
  <c r="M99" i="63" s="1"/>
  <c r="L95" i="63"/>
  <c r="M96" i="63"/>
  <c r="G89" i="63"/>
  <c r="H89" i="63"/>
  <c r="L90" i="63"/>
  <c r="M86" i="63"/>
  <c r="L85" i="63"/>
  <c r="M78" i="63"/>
  <c r="L77" i="63"/>
  <c r="E77" i="63"/>
  <c r="L75" i="63"/>
  <c r="M75" i="63" s="1"/>
  <c r="L67" i="63"/>
  <c r="L59" i="63"/>
  <c r="L52" i="63"/>
  <c r="L48" i="63"/>
  <c r="L42" i="63"/>
  <c r="E42" i="63"/>
  <c r="L30" i="63"/>
  <c r="M24" i="63"/>
  <c r="L23" i="63"/>
  <c r="M20" i="63"/>
  <c r="L18" i="63"/>
  <c r="L14" i="63"/>
  <c r="I41" i="63"/>
  <c r="I89" i="63"/>
  <c r="I35" i="63"/>
  <c r="J77" i="63"/>
  <c r="E23" i="63"/>
  <c r="J35" i="63"/>
  <c r="J47" i="63"/>
  <c r="K47" i="63"/>
  <c r="J14" i="63"/>
  <c r="G117" i="63"/>
  <c r="H41" i="63"/>
  <c r="H155" i="63" s="1"/>
  <c r="K42" i="63"/>
  <c r="E134" i="63"/>
  <c r="G35" i="63"/>
  <c r="I14" i="63"/>
  <c r="I134" i="63"/>
  <c r="I131" i="63" s="1"/>
  <c r="H117" i="63"/>
  <c r="G23" i="63"/>
  <c r="J89" i="63"/>
  <c r="G14" i="63"/>
  <c r="K58" i="63"/>
  <c r="K35" i="63"/>
  <c r="K13" i="63" s="1"/>
  <c r="E14" i="63"/>
  <c r="H23" i="63"/>
  <c r="H13" i="63" s="1"/>
  <c r="K89" i="63"/>
  <c r="G29" i="63"/>
  <c r="J52" i="63"/>
  <c r="E90" i="63"/>
  <c r="E18" i="63"/>
  <c r="K52" i="63"/>
  <c r="G66" i="63"/>
  <c r="G41" i="63" s="1"/>
  <c r="I118" i="63"/>
  <c r="I117" i="63" s="1"/>
  <c r="D118" i="63"/>
  <c r="R153" i="65"/>
  <c r="R152" i="65" s="1"/>
  <c r="R151" i="65" s="1"/>
  <c r="S153" i="65"/>
  <c r="L152" i="65"/>
  <c r="L151" i="65" s="1"/>
  <c r="R149" i="65"/>
  <c r="R148" i="65" s="1"/>
  <c r="R147" i="65" s="1"/>
  <c r="S149" i="65"/>
  <c r="L148" i="65"/>
  <c r="L147" i="65" s="1"/>
  <c r="K148" i="65"/>
  <c r="K147" i="65" s="1"/>
  <c r="S148" i="65"/>
  <c r="S138" i="65"/>
  <c r="L137" i="65"/>
  <c r="S137" i="65" s="1"/>
  <c r="R138" i="65"/>
  <c r="R139" i="65"/>
  <c r="S139" i="65"/>
  <c r="K137" i="65"/>
  <c r="S135" i="65"/>
  <c r="R135" i="65"/>
  <c r="L134" i="65"/>
  <c r="S134" i="65" s="1"/>
  <c r="R133" i="65"/>
  <c r="R132" i="65" s="1"/>
  <c r="L132" i="65"/>
  <c r="S133" i="65"/>
  <c r="I117" i="65"/>
  <c r="L128" i="65"/>
  <c r="S128" i="65" s="1"/>
  <c r="R127" i="65"/>
  <c r="R126" i="65" s="1"/>
  <c r="S127" i="65"/>
  <c r="L126" i="65"/>
  <c r="S126" i="65" s="1"/>
  <c r="J117" i="65"/>
  <c r="Q117" i="65"/>
  <c r="I14" i="68" s="1"/>
  <c r="S123" i="65"/>
  <c r="S120" i="65"/>
  <c r="S119" i="65"/>
  <c r="L118" i="65"/>
  <c r="R119" i="65"/>
  <c r="S121" i="65"/>
  <c r="S122" i="65"/>
  <c r="K118" i="65"/>
  <c r="E117" i="65"/>
  <c r="F117" i="65"/>
  <c r="G117" i="65"/>
  <c r="H117" i="65"/>
  <c r="R109" i="65"/>
  <c r="S109" i="65"/>
  <c r="S112" i="65"/>
  <c r="R112" i="65"/>
  <c r="S113" i="65"/>
  <c r="R113" i="65"/>
  <c r="L107" i="65"/>
  <c r="S107" i="65" s="1"/>
  <c r="S108" i="65"/>
  <c r="R108" i="65"/>
  <c r="R114" i="65"/>
  <c r="S114" i="65"/>
  <c r="S110" i="65"/>
  <c r="R110" i="65"/>
  <c r="S115" i="65"/>
  <c r="R115" i="65"/>
  <c r="J89" i="65"/>
  <c r="R111" i="65"/>
  <c r="P89" i="65"/>
  <c r="L105" i="65"/>
  <c r="Q89" i="65"/>
  <c r="I13" i="68" s="1"/>
  <c r="S99" i="65"/>
  <c r="R99" i="65"/>
  <c r="R98" i="65"/>
  <c r="S98" i="65"/>
  <c r="L97" i="65"/>
  <c r="S97" i="65" s="1"/>
  <c r="R100" i="65"/>
  <c r="S100" i="65"/>
  <c r="S101" i="65"/>
  <c r="R101" i="65"/>
  <c r="R102" i="65"/>
  <c r="S102" i="65"/>
  <c r="R103" i="65"/>
  <c r="S103" i="65"/>
  <c r="K97" i="65"/>
  <c r="R96" i="65"/>
  <c r="R95" i="65" s="1"/>
  <c r="S96" i="65"/>
  <c r="L95" i="65"/>
  <c r="S95" i="65" s="1"/>
  <c r="E89" i="65"/>
  <c r="F89" i="65"/>
  <c r="G89" i="65"/>
  <c r="H89" i="65"/>
  <c r="I89" i="65"/>
  <c r="L90" i="65"/>
  <c r="S91" i="65"/>
  <c r="R91" i="65"/>
  <c r="R92" i="65"/>
  <c r="S92" i="65"/>
  <c r="R93" i="65"/>
  <c r="S93" i="65"/>
  <c r="R94" i="65"/>
  <c r="S94" i="65"/>
  <c r="K90" i="65"/>
  <c r="L85" i="65"/>
  <c r="S85" i="65" s="1"/>
  <c r="S86" i="65"/>
  <c r="R86" i="65"/>
  <c r="R87" i="65"/>
  <c r="S87" i="65"/>
  <c r="R84" i="65"/>
  <c r="R83" i="65" s="1"/>
  <c r="L83" i="65"/>
  <c r="S83" i="65" s="1"/>
  <c r="S84" i="65"/>
  <c r="K83" i="65"/>
  <c r="S79" i="65"/>
  <c r="R79" i="65"/>
  <c r="R80" i="65"/>
  <c r="S80" i="65"/>
  <c r="R81" i="65"/>
  <c r="S81" i="65"/>
  <c r="L77" i="65"/>
  <c r="S77" i="65" s="1"/>
  <c r="S78" i="65"/>
  <c r="S82" i="65"/>
  <c r="L73" i="65"/>
  <c r="S73" i="65" s="1"/>
  <c r="R74" i="65"/>
  <c r="S74" i="65"/>
  <c r="R75" i="65"/>
  <c r="S75" i="65"/>
  <c r="R76" i="65"/>
  <c r="S76" i="65"/>
  <c r="R72" i="65"/>
  <c r="R71" i="65" s="1"/>
  <c r="L71" i="65"/>
  <c r="S71" i="65" s="1"/>
  <c r="S72" i="65"/>
  <c r="K71" i="65"/>
  <c r="S67" i="65"/>
  <c r="R67" i="65"/>
  <c r="L66" i="65"/>
  <c r="S66" i="65" s="1"/>
  <c r="S68" i="65"/>
  <c r="R68" i="65"/>
  <c r="S69" i="65"/>
  <c r="R69" i="65"/>
  <c r="R70" i="65"/>
  <c r="S70" i="65"/>
  <c r="K66" i="65"/>
  <c r="S59" i="65"/>
  <c r="R59" i="65"/>
  <c r="L58" i="65"/>
  <c r="S58" i="65" s="1"/>
  <c r="R63" i="65"/>
  <c r="S63" i="65"/>
  <c r="R64" i="65"/>
  <c r="S64" i="65"/>
  <c r="S62" i="65"/>
  <c r="R62" i="65"/>
  <c r="I41" i="65"/>
  <c r="R61" i="65"/>
  <c r="H41" i="65"/>
  <c r="R57" i="65"/>
  <c r="S57" i="65"/>
  <c r="S55" i="65"/>
  <c r="R55" i="65"/>
  <c r="R56" i="65"/>
  <c r="S56" i="65"/>
  <c r="L54" i="65"/>
  <c r="L52" i="65" s="1"/>
  <c r="S52" i="65" s="1"/>
  <c r="E41" i="65"/>
  <c r="L47" i="65"/>
  <c r="S47" i="65" s="1"/>
  <c r="S48" i="65"/>
  <c r="R48" i="65"/>
  <c r="S50" i="65"/>
  <c r="R50" i="65"/>
  <c r="R51" i="65"/>
  <c r="S51" i="65"/>
  <c r="F41" i="65"/>
  <c r="G41" i="65"/>
  <c r="J41" i="65"/>
  <c r="R49" i="65"/>
  <c r="Q41" i="65"/>
  <c r="I12" i="68" s="1"/>
  <c r="R46" i="65"/>
  <c r="S46" i="65"/>
  <c r="R45" i="65"/>
  <c r="S45" i="65"/>
  <c r="L43" i="65"/>
  <c r="R36" i="65"/>
  <c r="S36" i="65"/>
  <c r="L35" i="65"/>
  <c r="S35" i="65" s="1"/>
  <c r="R37" i="65"/>
  <c r="S37" i="65"/>
  <c r="R39" i="65"/>
  <c r="S39" i="65"/>
  <c r="I13" i="65"/>
  <c r="J13" i="65"/>
  <c r="R31" i="65"/>
  <c r="S31" i="65"/>
  <c r="R32" i="65"/>
  <c r="S32" i="65"/>
  <c r="R33" i="65"/>
  <c r="S33" i="65"/>
  <c r="R34" i="65"/>
  <c r="S34" i="65"/>
  <c r="F13" i="65"/>
  <c r="L30" i="65"/>
  <c r="H13" i="65"/>
  <c r="S25" i="65"/>
  <c r="R25" i="65"/>
  <c r="K23" i="65"/>
  <c r="L23" i="65"/>
  <c r="S23" i="65" s="1"/>
  <c r="G13" i="65"/>
  <c r="R26" i="65"/>
  <c r="R24" i="65"/>
  <c r="R21" i="65"/>
  <c r="S21" i="65"/>
  <c r="S20" i="65"/>
  <c r="Q13" i="65"/>
  <c r="I11" i="68" s="1"/>
  <c r="E13" i="65"/>
  <c r="R16" i="65"/>
  <c r="S16" i="65"/>
  <c r="K14" i="65"/>
  <c r="S17" i="65"/>
  <c r="L14" i="65"/>
  <c r="S14" i="65" s="1"/>
  <c r="R119" i="49"/>
  <c r="S113" i="49"/>
  <c r="L73" i="49"/>
  <c r="S73" i="49" s="1"/>
  <c r="S72" i="49"/>
  <c r="L52" i="49"/>
  <c r="S52" i="49" s="1"/>
  <c r="L42" i="49"/>
  <c r="S42" i="49" s="1"/>
  <c r="S43" i="49"/>
  <c r="S45" i="49"/>
  <c r="S32" i="49"/>
  <c r="L23" i="49"/>
  <c r="S23" i="49" s="1"/>
  <c r="S19" i="49"/>
  <c r="J89" i="49"/>
  <c r="E89" i="49"/>
  <c r="F89" i="49"/>
  <c r="G89" i="49"/>
  <c r="H89" i="49"/>
  <c r="G13" i="49"/>
  <c r="H117" i="49"/>
  <c r="Q13" i="49"/>
  <c r="E41" i="49"/>
  <c r="H13" i="49"/>
  <c r="G41" i="49"/>
  <c r="H41" i="49"/>
  <c r="Q41" i="49"/>
  <c r="F12" i="68" s="1"/>
  <c r="E13" i="49"/>
  <c r="J13" i="49"/>
  <c r="F41" i="49"/>
  <c r="J117" i="49"/>
  <c r="J41" i="49"/>
  <c r="F13" i="49"/>
  <c r="D152" i="65"/>
  <c r="D151" i="65" s="1"/>
  <c r="D148" i="65"/>
  <c r="D147" i="65" s="1"/>
  <c r="D144" i="65"/>
  <c r="D142" i="65"/>
  <c r="D137" i="65"/>
  <c r="D134" i="65"/>
  <c r="D132" i="65"/>
  <c r="D131" i="65" s="1"/>
  <c r="D128" i="65"/>
  <c r="D126" i="65"/>
  <c r="D124" i="65"/>
  <c r="D118" i="65"/>
  <c r="D107" i="65"/>
  <c r="D104" i="65"/>
  <c r="D97" i="65"/>
  <c r="D95" i="65"/>
  <c r="D90" i="65"/>
  <c r="D85" i="65"/>
  <c r="D83" i="65"/>
  <c r="D77" i="65"/>
  <c r="D73" i="65"/>
  <c r="D71" i="65"/>
  <c r="D66" i="65"/>
  <c r="D58" i="65"/>
  <c r="D52" i="65"/>
  <c r="D47" i="65"/>
  <c r="D42" i="65"/>
  <c r="D35" i="65"/>
  <c r="D29" i="65"/>
  <c r="D23" i="65"/>
  <c r="D18" i="65"/>
  <c r="D14" i="65"/>
  <c r="D152" i="49"/>
  <c r="D151" i="49" s="1"/>
  <c r="D148" i="49"/>
  <c r="D147" i="49" s="1"/>
  <c r="D144" i="49"/>
  <c r="D142" i="49"/>
  <c r="D137" i="49"/>
  <c r="D134" i="49"/>
  <c r="D132" i="49"/>
  <c r="D128" i="49"/>
  <c r="D126" i="49"/>
  <c r="D124" i="49"/>
  <c r="D118" i="49"/>
  <c r="D107" i="49"/>
  <c r="D104" i="49"/>
  <c r="D97" i="49"/>
  <c r="D95" i="49"/>
  <c r="D90" i="49"/>
  <c r="D85" i="49"/>
  <c r="D83" i="49"/>
  <c r="D77" i="49"/>
  <c r="D73" i="49"/>
  <c r="D71" i="49"/>
  <c r="D66" i="49"/>
  <c r="D58" i="49"/>
  <c r="D52" i="49"/>
  <c r="D47" i="49"/>
  <c r="D42" i="49"/>
  <c r="D35" i="49"/>
  <c r="D29" i="49"/>
  <c r="D23" i="49"/>
  <c r="D18" i="49"/>
  <c r="D13" i="49" s="1"/>
  <c r="D14" i="49"/>
  <c r="J41" i="63" l="1"/>
  <c r="F11" i="68"/>
  <c r="D13" i="65"/>
  <c r="K131" i="65"/>
  <c r="R134" i="65"/>
  <c r="D131" i="63"/>
  <c r="L132" i="49"/>
  <c r="L131" i="49" s="1"/>
  <c r="E15" i="68" s="1"/>
  <c r="D131" i="49"/>
  <c r="E131" i="63"/>
  <c r="R107" i="49"/>
  <c r="L131" i="63"/>
  <c r="S19" i="65"/>
  <c r="E155" i="65"/>
  <c r="D89" i="65"/>
  <c r="R14" i="65"/>
  <c r="R77" i="65"/>
  <c r="L142" i="65"/>
  <c r="S142" i="65" s="1"/>
  <c r="S143" i="65"/>
  <c r="L35" i="49"/>
  <c r="S35" i="49" s="1"/>
  <c r="R39" i="49"/>
  <c r="R35" i="49" s="1"/>
  <c r="L14" i="49"/>
  <c r="S14" i="49" s="1"/>
  <c r="R17" i="49"/>
  <c r="R14" i="49" s="1"/>
  <c r="S96" i="49"/>
  <c r="R96" i="49"/>
  <c r="R95" i="49" s="1"/>
  <c r="S30" i="49"/>
  <c r="R30" i="49"/>
  <c r="R29" i="49" s="1"/>
  <c r="S132" i="49"/>
  <c r="R132" i="49"/>
  <c r="R131" i="49" s="1"/>
  <c r="L104" i="49"/>
  <c r="S104" i="49" s="1"/>
  <c r="R105" i="49"/>
  <c r="R104" i="49" s="1"/>
  <c r="K89" i="49"/>
  <c r="S105" i="49"/>
  <c r="D117" i="63"/>
  <c r="S151" i="65"/>
  <c r="H17" i="68"/>
  <c r="S147" i="65"/>
  <c r="H16" i="68"/>
  <c r="S69" i="49"/>
  <c r="R69" i="49"/>
  <c r="R66" i="49" s="1"/>
  <c r="L66" i="49"/>
  <c r="S66" i="49" s="1"/>
  <c r="M152" i="63"/>
  <c r="M124" i="63"/>
  <c r="D66" i="74" s="1"/>
  <c r="R137" i="65"/>
  <c r="R18" i="49"/>
  <c r="D117" i="49"/>
  <c r="S131" i="49"/>
  <c r="J155" i="65"/>
  <c r="H155" i="65"/>
  <c r="Q155" i="65"/>
  <c r="G155" i="65"/>
  <c r="I155" i="65"/>
  <c r="F155" i="65"/>
  <c r="K13" i="49"/>
  <c r="S17" i="49"/>
  <c r="L29" i="49"/>
  <c r="S29" i="49" s="1"/>
  <c r="R97" i="49"/>
  <c r="R23" i="49"/>
  <c r="L148" i="49"/>
  <c r="L147" i="49" s="1"/>
  <c r="R148" i="49"/>
  <c r="R147" i="49" s="1"/>
  <c r="R47" i="49"/>
  <c r="K41" i="49"/>
  <c r="S153" i="49"/>
  <c r="L152" i="49"/>
  <c r="K13" i="65"/>
  <c r="S152" i="65"/>
  <c r="R125" i="65"/>
  <c r="R124" i="65" s="1"/>
  <c r="L124" i="65"/>
  <c r="S124" i="65" s="1"/>
  <c r="R19" i="65"/>
  <c r="R18" i="65" s="1"/>
  <c r="K89" i="65"/>
  <c r="K117" i="65"/>
  <c r="L73" i="63"/>
  <c r="R126" i="49"/>
  <c r="S126" i="49"/>
  <c r="S98" i="49"/>
  <c r="L97" i="49"/>
  <c r="S124" i="49"/>
  <c r="R124" i="49"/>
  <c r="R128" i="49"/>
  <c r="S128" i="49"/>
  <c r="D89" i="63"/>
  <c r="R85" i="49"/>
  <c r="S84" i="49"/>
  <c r="L83" i="49"/>
  <c r="S83" i="49" s="1"/>
  <c r="R83" i="49"/>
  <c r="S39" i="49"/>
  <c r="S60" i="49"/>
  <c r="R58" i="49"/>
  <c r="S123" i="49"/>
  <c r="R123" i="49"/>
  <c r="R118" i="49" s="1"/>
  <c r="L118" i="49"/>
  <c r="R42" i="49"/>
  <c r="L58" i="49"/>
  <c r="S58" i="49" s="1"/>
  <c r="L95" i="49"/>
  <c r="S95" i="49" s="1"/>
  <c r="M105" i="63"/>
  <c r="M14" i="63"/>
  <c r="M52" i="63"/>
  <c r="M36" i="63"/>
  <c r="M77" i="63"/>
  <c r="M42" i="63"/>
  <c r="M90" i="63"/>
  <c r="D41" i="63"/>
  <c r="D13" i="63"/>
  <c r="M133" i="63"/>
  <c r="M129" i="63"/>
  <c r="E117" i="63"/>
  <c r="M149" i="63"/>
  <c r="L107" i="63"/>
  <c r="E89" i="63"/>
  <c r="E41" i="63"/>
  <c r="M145" i="63"/>
  <c r="M83" i="63"/>
  <c r="L71" i="63"/>
  <c r="S134" i="49"/>
  <c r="M118" i="63"/>
  <c r="M142" i="63"/>
  <c r="M137" i="63"/>
  <c r="M134" i="63"/>
  <c r="L126" i="63"/>
  <c r="L117" i="63" s="1"/>
  <c r="M107" i="63"/>
  <c r="L97" i="63"/>
  <c r="M97" i="63"/>
  <c r="M95" i="63"/>
  <c r="M85" i="63"/>
  <c r="M73" i="63"/>
  <c r="M71" i="63"/>
  <c r="M67" i="63"/>
  <c r="L66" i="63"/>
  <c r="L58" i="63"/>
  <c r="M59" i="63"/>
  <c r="L47" i="63"/>
  <c r="M48" i="63"/>
  <c r="I13" i="63"/>
  <c r="I155" i="63" s="1"/>
  <c r="G13" i="63"/>
  <c r="G155" i="63" s="1"/>
  <c r="M30" i="63"/>
  <c r="L29" i="63"/>
  <c r="L13" i="63" s="1"/>
  <c r="E13" i="63"/>
  <c r="M23" i="63"/>
  <c r="M18" i="63"/>
  <c r="K41" i="63"/>
  <c r="K155" i="63" s="1"/>
  <c r="J13" i="63"/>
  <c r="J155" i="63" s="1"/>
  <c r="F155" i="63"/>
  <c r="S132" i="65"/>
  <c r="R118" i="65"/>
  <c r="S118" i="65"/>
  <c r="R107" i="65"/>
  <c r="R105" i="65"/>
  <c r="R104" i="65" s="1"/>
  <c r="L104" i="65"/>
  <c r="S104" i="65" s="1"/>
  <c r="S105" i="65"/>
  <c r="R97" i="65"/>
  <c r="R90" i="65"/>
  <c r="S90" i="65"/>
  <c r="R85" i="65"/>
  <c r="R73" i="65"/>
  <c r="K41" i="65"/>
  <c r="R66" i="65"/>
  <c r="R58" i="65"/>
  <c r="S54" i="65"/>
  <c r="R54" i="65"/>
  <c r="R52" i="65" s="1"/>
  <c r="R47" i="65"/>
  <c r="L42" i="65"/>
  <c r="R43" i="65"/>
  <c r="R42" i="65" s="1"/>
  <c r="S43" i="65"/>
  <c r="R35" i="65"/>
  <c r="R30" i="65"/>
  <c r="R29" i="65" s="1"/>
  <c r="S30" i="65"/>
  <c r="L29" i="65"/>
  <c r="S29" i="65" s="1"/>
  <c r="R23" i="65"/>
  <c r="D41" i="65"/>
  <c r="D117" i="65"/>
  <c r="R52" i="49"/>
  <c r="J155" i="49"/>
  <c r="H155" i="49"/>
  <c r="E155" i="49"/>
  <c r="G155" i="49"/>
  <c r="F155" i="49"/>
  <c r="M155" i="49"/>
  <c r="D89" i="49"/>
  <c r="D41" i="49"/>
  <c r="R131" i="65" l="1"/>
  <c r="L131" i="65"/>
  <c r="H15" i="68" s="1"/>
  <c r="R89" i="49"/>
  <c r="R13" i="65"/>
  <c r="L13" i="65"/>
  <c r="M35" i="63"/>
  <c r="K155" i="49"/>
  <c r="L13" i="49"/>
  <c r="S131" i="65"/>
  <c r="M151" i="63"/>
  <c r="S147" i="49"/>
  <c r="E16" i="68"/>
  <c r="D155" i="49"/>
  <c r="M148" i="63"/>
  <c r="S148" i="49"/>
  <c r="M144" i="63"/>
  <c r="K155" i="65"/>
  <c r="L151" i="49"/>
  <c r="S152" i="49"/>
  <c r="R41" i="49"/>
  <c r="L117" i="65"/>
  <c r="R117" i="65"/>
  <c r="S118" i="49"/>
  <c r="L117" i="49"/>
  <c r="R117" i="49"/>
  <c r="L89" i="49"/>
  <c r="R13" i="49"/>
  <c r="L41" i="49"/>
  <c r="D155" i="63"/>
  <c r="M104" i="63"/>
  <c r="M132" i="63"/>
  <c r="E155" i="63"/>
  <c r="L89" i="63"/>
  <c r="M128" i="63"/>
  <c r="D67" i="74" s="1"/>
  <c r="N155" i="63"/>
  <c r="D155" i="65"/>
  <c r="M126" i="63"/>
  <c r="M66" i="63"/>
  <c r="L41" i="63"/>
  <c r="M58" i="63"/>
  <c r="M47" i="63"/>
  <c r="M29" i="63"/>
  <c r="L89" i="65"/>
  <c r="R89" i="65"/>
  <c r="R41" i="65"/>
  <c r="L41" i="65"/>
  <c r="H12" i="68" s="1"/>
  <c r="S42" i="65"/>
  <c r="K136" i="50"/>
  <c r="L136" i="50" s="1"/>
  <c r="D95" i="50"/>
  <c r="K96" i="50"/>
  <c r="L96" i="50" s="1"/>
  <c r="R96" i="50" s="1"/>
  <c r="K153" i="50"/>
  <c r="L153" i="50" s="1"/>
  <c r="R153" i="50" s="1"/>
  <c r="K149" i="50"/>
  <c r="L149" i="50" s="1"/>
  <c r="K145" i="50"/>
  <c r="L145" i="50" s="1"/>
  <c r="R145" i="50" s="1"/>
  <c r="K143" i="50"/>
  <c r="L143" i="50" s="1"/>
  <c r="R143" i="50" s="1"/>
  <c r="K139" i="50"/>
  <c r="L139" i="50" s="1"/>
  <c r="R139" i="50" s="1"/>
  <c r="K138" i="50"/>
  <c r="L138" i="50" s="1"/>
  <c r="R138" i="50" s="1"/>
  <c r="K135" i="50"/>
  <c r="L135" i="50" s="1"/>
  <c r="R135" i="50" s="1"/>
  <c r="K133" i="50"/>
  <c r="L133" i="50" s="1"/>
  <c r="R133" i="50" s="1"/>
  <c r="K129" i="50"/>
  <c r="L129" i="50" s="1"/>
  <c r="R129" i="50" s="1"/>
  <c r="K127" i="50"/>
  <c r="L127" i="50" s="1"/>
  <c r="R127" i="50" s="1"/>
  <c r="K125" i="50"/>
  <c r="L125" i="50" s="1"/>
  <c r="R125" i="50" s="1"/>
  <c r="K123" i="50"/>
  <c r="L123" i="50" s="1"/>
  <c r="R123" i="50" s="1"/>
  <c r="K122" i="50"/>
  <c r="L122" i="50" s="1"/>
  <c r="R122" i="50" s="1"/>
  <c r="K121" i="50"/>
  <c r="L121" i="50" s="1"/>
  <c r="R121" i="50" s="1"/>
  <c r="K120" i="50"/>
  <c r="L120" i="50" s="1"/>
  <c r="R120" i="50" s="1"/>
  <c r="K119" i="50"/>
  <c r="L119" i="50" s="1"/>
  <c r="K115" i="50"/>
  <c r="L115" i="50" s="1"/>
  <c r="K114" i="50"/>
  <c r="L114" i="50" s="1"/>
  <c r="R114" i="50" s="1"/>
  <c r="K113" i="50"/>
  <c r="L113" i="50" s="1"/>
  <c r="K112" i="50"/>
  <c r="L112" i="50" s="1"/>
  <c r="R112" i="50" s="1"/>
  <c r="K111" i="50"/>
  <c r="L111" i="50" s="1"/>
  <c r="R111" i="50" s="1"/>
  <c r="K110" i="50"/>
  <c r="L110" i="50" s="1"/>
  <c r="K109" i="50"/>
  <c r="L109" i="50" s="1"/>
  <c r="R109" i="50" s="1"/>
  <c r="K108" i="50"/>
  <c r="L108" i="50" s="1"/>
  <c r="R108" i="50" s="1"/>
  <c r="K106" i="50"/>
  <c r="L106" i="50" s="1"/>
  <c r="R106" i="50" s="1"/>
  <c r="K105" i="50"/>
  <c r="L105" i="50" s="1"/>
  <c r="R105" i="50" s="1"/>
  <c r="K103" i="50"/>
  <c r="L103" i="50" s="1"/>
  <c r="K102" i="50"/>
  <c r="L102" i="50" s="1"/>
  <c r="R102" i="50" s="1"/>
  <c r="K101" i="50"/>
  <c r="L101" i="50" s="1"/>
  <c r="K100" i="50"/>
  <c r="L100" i="50" s="1"/>
  <c r="R100" i="50" s="1"/>
  <c r="K99" i="50"/>
  <c r="L99" i="50" s="1"/>
  <c r="R99" i="50" s="1"/>
  <c r="K98" i="50"/>
  <c r="L98" i="50" s="1"/>
  <c r="R98" i="50" s="1"/>
  <c r="K94" i="50"/>
  <c r="L94" i="50" s="1"/>
  <c r="R94" i="50" s="1"/>
  <c r="K93" i="50"/>
  <c r="L93" i="50" s="1"/>
  <c r="R93" i="50" s="1"/>
  <c r="K92" i="50"/>
  <c r="L92" i="50" s="1"/>
  <c r="R92" i="50" s="1"/>
  <c r="K91" i="50"/>
  <c r="L91" i="50" s="1"/>
  <c r="R91" i="50" s="1"/>
  <c r="K87" i="50"/>
  <c r="L87" i="50" s="1"/>
  <c r="R87" i="50" s="1"/>
  <c r="K86" i="50"/>
  <c r="L86" i="50" s="1"/>
  <c r="R86" i="50" s="1"/>
  <c r="K84" i="50"/>
  <c r="L84" i="50" s="1"/>
  <c r="R84" i="50" s="1"/>
  <c r="K82" i="50"/>
  <c r="L82" i="50" s="1"/>
  <c r="R82" i="50" s="1"/>
  <c r="K81" i="50"/>
  <c r="L81" i="50" s="1"/>
  <c r="R81" i="50" s="1"/>
  <c r="K80" i="50"/>
  <c r="L80" i="50" s="1"/>
  <c r="R80" i="50" s="1"/>
  <c r="K79" i="50"/>
  <c r="L79" i="50" s="1"/>
  <c r="R79" i="50" s="1"/>
  <c r="K78" i="50"/>
  <c r="L78" i="50" s="1"/>
  <c r="R78" i="50" s="1"/>
  <c r="K76" i="50"/>
  <c r="L76" i="50" s="1"/>
  <c r="R76" i="50" s="1"/>
  <c r="K75" i="50"/>
  <c r="L75" i="50" s="1"/>
  <c r="R75" i="50" s="1"/>
  <c r="K74" i="50"/>
  <c r="L74" i="50" s="1"/>
  <c r="K72" i="50"/>
  <c r="L72" i="50" s="1"/>
  <c r="R72" i="50" s="1"/>
  <c r="K70" i="50"/>
  <c r="L70" i="50" s="1"/>
  <c r="R70" i="50" s="1"/>
  <c r="K69" i="50"/>
  <c r="L69" i="50" s="1"/>
  <c r="R69" i="50" s="1"/>
  <c r="K68" i="50"/>
  <c r="L68" i="50" s="1"/>
  <c r="R68" i="50" s="1"/>
  <c r="K67" i="50"/>
  <c r="L67" i="50" s="1"/>
  <c r="R67" i="50" s="1"/>
  <c r="K65" i="50"/>
  <c r="L65" i="50" s="1"/>
  <c r="R65" i="50" s="1"/>
  <c r="K64" i="50"/>
  <c r="L64" i="50" s="1"/>
  <c r="R64" i="50" s="1"/>
  <c r="K63" i="50"/>
  <c r="L63" i="50" s="1"/>
  <c r="R63" i="50" s="1"/>
  <c r="K62" i="50"/>
  <c r="L62" i="50" s="1"/>
  <c r="R62" i="50" s="1"/>
  <c r="K61" i="50"/>
  <c r="L61" i="50" s="1"/>
  <c r="R61" i="50" s="1"/>
  <c r="K60" i="50"/>
  <c r="L60" i="50" s="1"/>
  <c r="R60" i="50" s="1"/>
  <c r="K59" i="50"/>
  <c r="L59" i="50" s="1"/>
  <c r="R59" i="50" s="1"/>
  <c r="K57" i="50"/>
  <c r="L57" i="50" s="1"/>
  <c r="K56" i="50"/>
  <c r="L56" i="50" s="1"/>
  <c r="R56" i="50" s="1"/>
  <c r="K55" i="50"/>
  <c r="L55" i="50" s="1"/>
  <c r="R55" i="50" s="1"/>
  <c r="K54" i="50"/>
  <c r="L54" i="50" s="1"/>
  <c r="R54" i="50" s="1"/>
  <c r="K53" i="50"/>
  <c r="L53" i="50" s="1"/>
  <c r="R53" i="50" s="1"/>
  <c r="K51" i="50"/>
  <c r="L51" i="50" s="1"/>
  <c r="R51" i="50" s="1"/>
  <c r="K50" i="50"/>
  <c r="L50" i="50" s="1"/>
  <c r="R50" i="50" s="1"/>
  <c r="K49" i="50"/>
  <c r="L49" i="50" s="1"/>
  <c r="R49" i="50" s="1"/>
  <c r="K48" i="50"/>
  <c r="L48" i="50" s="1"/>
  <c r="R48" i="50" s="1"/>
  <c r="K46" i="50"/>
  <c r="L46" i="50" s="1"/>
  <c r="K45" i="50"/>
  <c r="L45" i="50" s="1"/>
  <c r="R45" i="50" s="1"/>
  <c r="K44" i="50"/>
  <c r="L44" i="50" s="1"/>
  <c r="R44" i="50" s="1"/>
  <c r="K43" i="50"/>
  <c r="L43" i="50" s="1"/>
  <c r="R43" i="50" s="1"/>
  <c r="K39" i="50"/>
  <c r="L39" i="50" s="1"/>
  <c r="K38" i="50"/>
  <c r="L38" i="50" s="1"/>
  <c r="R38" i="50" s="1"/>
  <c r="K37" i="50"/>
  <c r="L37" i="50" s="1"/>
  <c r="R37" i="50" s="1"/>
  <c r="K36" i="50"/>
  <c r="L36" i="50" s="1"/>
  <c r="R36" i="50" s="1"/>
  <c r="K34" i="50"/>
  <c r="L34" i="50" s="1"/>
  <c r="R34" i="50" s="1"/>
  <c r="K33" i="50"/>
  <c r="L33" i="50" s="1"/>
  <c r="R33" i="50" s="1"/>
  <c r="K32" i="50"/>
  <c r="L32" i="50" s="1"/>
  <c r="R32" i="50" s="1"/>
  <c r="K31" i="50"/>
  <c r="L31" i="50" s="1"/>
  <c r="R31" i="50" s="1"/>
  <c r="K30" i="50"/>
  <c r="L30" i="50" s="1"/>
  <c r="R30" i="50" s="1"/>
  <c r="K28" i="50"/>
  <c r="L28" i="50" s="1"/>
  <c r="R28" i="50" s="1"/>
  <c r="K27" i="50"/>
  <c r="L27" i="50" s="1"/>
  <c r="R27" i="50" s="1"/>
  <c r="K26" i="50"/>
  <c r="L26" i="50" s="1"/>
  <c r="K25" i="50"/>
  <c r="L25" i="50" s="1"/>
  <c r="R25" i="50" s="1"/>
  <c r="K24" i="50"/>
  <c r="L24" i="50" s="1"/>
  <c r="R24" i="50" s="1"/>
  <c r="K22" i="50"/>
  <c r="L22" i="50" s="1"/>
  <c r="K21" i="50"/>
  <c r="L21" i="50" s="1"/>
  <c r="R21" i="50" s="1"/>
  <c r="K20" i="50"/>
  <c r="L20" i="50" s="1"/>
  <c r="K19" i="50"/>
  <c r="L19" i="50" s="1"/>
  <c r="R19" i="50" s="1"/>
  <c r="K17" i="50"/>
  <c r="L17" i="50" s="1"/>
  <c r="R17" i="50" s="1"/>
  <c r="K16" i="50"/>
  <c r="L16" i="50" s="1"/>
  <c r="R16" i="50" s="1"/>
  <c r="M131" i="63" l="1"/>
  <c r="D70" i="74"/>
  <c r="D16" i="74"/>
  <c r="D14" i="74"/>
  <c r="D63" i="74"/>
  <c r="S13" i="65"/>
  <c r="H11" i="68"/>
  <c r="M13" i="63"/>
  <c r="S13" i="49"/>
  <c r="E11" i="68"/>
  <c r="M89" i="63"/>
  <c r="D12" i="74" s="1"/>
  <c r="E13" i="68"/>
  <c r="S117" i="65"/>
  <c r="H14" i="68"/>
  <c r="L155" i="65"/>
  <c r="S155" i="65" s="1"/>
  <c r="S89" i="65"/>
  <c r="H13" i="68"/>
  <c r="L155" i="63"/>
  <c r="S41" i="49"/>
  <c r="E12" i="68"/>
  <c r="S151" i="49"/>
  <c r="E17" i="68"/>
  <c r="M147" i="63"/>
  <c r="S117" i="49"/>
  <c r="E14" i="68"/>
  <c r="R155" i="49"/>
  <c r="R155" i="65"/>
  <c r="L155" i="49"/>
  <c r="M117" i="63"/>
  <c r="D13" i="74" s="1"/>
  <c r="S74" i="50"/>
  <c r="R74" i="50"/>
  <c r="S39" i="50"/>
  <c r="R39" i="50"/>
  <c r="S20" i="50"/>
  <c r="R20" i="50"/>
  <c r="S46" i="50"/>
  <c r="R46" i="50"/>
  <c r="S101" i="50"/>
  <c r="R101" i="50"/>
  <c r="S22" i="50"/>
  <c r="R22" i="50"/>
  <c r="S103" i="50"/>
  <c r="R103" i="50"/>
  <c r="S26" i="50"/>
  <c r="R26" i="50"/>
  <c r="R23" i="50" s="1"/>
  <c r="S110" i="50"/>
  <c r="R110" i="50"/>
  <c r="S57" i="50"/>
  <c r="R57" i="50"/>
  <c r="S113" i="50"/>
  <c r="R113" i="50"/>
  <c r="S115" i="50"/>
  <c r="R115" i="50"/>
  <c r="S149" i="50"/>
  <c r="R149" i="50"/>
  <c r="R148" i="50" s="1"/>
  <c r="R147" i="50" s="1"/>
  <c r="S119" i="50"/>
  <c r="R119" i="50"/>
  <c r="M41" i="63"/>
  <c r="D62" i="74" s="1"/>
  <c r="S41" i="65"/>
  <c r="R136" i="50"/>
  <c r="S136" i="50"/>
  <c r="S32" i="50"/>
  <c r="S153" i="50"/>
  <c r="S145" i="50"/>
  <c r="R144" i="50"/>
  <c r="S143" i="50"/>
  <c r="R142" i="50"/>
  <c r="S138" i="50"/>
  <c r="S139" i="50"/>
  <c r="S135" i="50"/>
  <c r="S133" i="50"/>
  <c r="R132" i="50"/>
  <c r="S129" i="50"/>
  <c r="R128" i="50"/>
  <c r="S127" i="50"/>
  <c r="R126" i="50"/>
  <c r="S125" i="50"/>
  <c r="R124" i="50"/>
  <c r="S120" i="50"/>
  <c r="S121" i="50"/>
  <c r="S122" i="50"/>
  <c r="S123" i="50"/>
  <c r="S109" i="50"/>
  <c r="S111" i="50"/>
  <c r="S112" i="50"/>
  <c r="S114" i="50"/>
  <c r="S108" i="50"/>
  <c r="S105" i="50"/>
  <c r="S106" i="50"/>
  <c r="R104" i="50"/>
  <c r="S98" i="50"/>
  <c r="S99" i="50"/>
  <c r="S100" i="50"/>
  <c r="S102" i="50"/>
  <c r="S91" i="50"/>
  <c r="R90" i="50"/>
  <c r="S92" i="50"/>
  <c r="S93" i="50"/>
  <c r="S94" i="50"/>
  <c r="S86" i="50"/>
  <c r="S87" i="50"/>
  <c r="S84" i="50"/>
  <c r="R83" i="50"/>
  <c r="S82" i="50"/>
  <c r="S78" i="50"/>
  <c r="S79" i="50"/>
  <c r="S80" i="50"/>
  <c r="S81" i="50"/>
  <c r="S75" i="50"/>
  <c r="S76" i="50"/>
  <c r="S72" i="50"/>
  <c r="S67" i="50"/>
  <c r="R66" i="50"/>
  <c r="S68" i="50"/>
  <c r="S69" i="50"/>
  <c r="S70" i="50"/>
  <c r="S59" i="50"/>
  <c r="R58" i="50"/>
  <c r="S60" i="50"/>
  <c r="S61" i="50"/>
  <c r="S62" i="50"/>
  <c r="S63" i="50"/>
  <c r="S64" i="50"/>
  <c r="S65" i="50"/>
  <c r="S56" i="50"/>
  <c r="S53" i="50"/>
  <c r="S54" i="50"/>
  <c r="S55" i="50"/>
  <c r="S50" i="50"/>
  <c r="R47" i="50"/>
  <c r="S48" i="50"/>
  <c r="S49" i="50"/>
  <c r="S51" i="50"/>
  <c r="S43" i="50"/>
  <c r="S45" i="50"/>
  <c r="S44" i="50"/>
  <c r="S36" i="50"/>
  <c r="S37" i="50"/>
  <c r="S38" i="50"/>
  <c r="S30" i="50"/>
  <c r="S31" i="50"/>
  <c r="S33" i="50"/>
  <c r="S34" i="50"/>
  <c r="S24" i="50"/>
  <c r="S25" i="50"/>
  <c r="S27" i="50"/>
  <c r="S28" i="50"/>
  <c r="S19" i="50"/>
  <c r="S17" i="50"/>
  <c r="S16" i="50"/>
  <c r="K15" i="50"/>
  <c r="L15" i="50" s="1"/>
  <c r="R15" i="50" s="1"/>
  <c r="R152" i="50"/>
  <c r="R151" i="50" s="1"/>
  <c r="Q152" i="50"/>
  <c r="Q151" i="50" s="1"/>
  <c r="C17" i="68" s="1"/>
  <c r="L152" i="50"/>
  <c r="L151" i="50" s="1"/>
  <c r="B17" i="68" s="1"/>
  <c r="K152" i="50"/>
  <c r="K151" i="50" s="1"/>
  <c r="J152" i="50"/>
  <c r="J151" i="50" s="1"/>
  <c r="G152" i="50"/>
  <c r="G151" i="50" s="1"/>
  <c r="F152" i="50"/>
  <c r="F151" i="50" s="1"/>
  <c r="E152" i="50"/>
  <c r="E151" i="50" s="1"/>
  <c r="Q148" i="50"/>
  <c r="Q147" i="50" s="1"/>
  <c r="C16" i="68" s="1"/>
  <c r="L148" i="50"/>
  <c r="L147" i="50" s="1"/>
  <c r="B16" i="68" s="1"/>
  <c r="K16" i="68" s="1"/>
  <c r="K148" i="50"/>
  <c r="K147" i="50" s="1"/>
  <c r="J148" i="50"/>
  <c r="J147" i="50" s="1"/>
  <c r="G148" i="50"/>
  <c r="G147" i="50" s="1"/>
  <c r="F148" i="50"/>
  <c r="F147" i="50" s="1"/>
  <c r="E148" i="50"/>
  <c r="E147" i="50" s="1"/>
  <c r="L144" i="50"/>
  <c r="K144" i="50"/>
  <c r="J144" i="50"/>
  <c r="G144" i="50"/>
  <c r="F144" i="50"/>
  <c r="E144" i="50"/>
  <c r="Q142" i="50"/>
  <c r="L142" i="50"/>
  <c r="K142" i="50"/>
  <c r="J142" i="50"/>
  <c r="G142" i="50"/>
  <c r="F142" i="50"/>
  <c r="E142" i="50"/>
  <c r="R137" i="50"/>
  <c r="Q137" i="50"/>
  <c r="L137" i="50"/>
  <c r="K137" i="50"/>
  <c r="J137" i="50"/>
  <c r="G137" i="50"/>
  <c r="F137" i="50"/>
  <c r="E137" i="50"/>
  <c r="Q134" i="50"/>
  <c r="L134" i="50"/>
  <c r="K134" i="50"/>
  <c r="J134" i="50"/>
  <c r="G134" i="50"/>
  <c r="F134" i="50"/>
  <c r="E134" i="50"/>
  <c r="Q132" i="50"/>
  <c r="L132" i="50"/>
  <c r="L131" i="50" s="1"/>
  <c r="K132" i="50"/>
  <c r="K131" i="50" s="1"/>
  <c r="J132" i="50"/>
  <c r="J131" i="50" s="1"/>
  <c r="G132" i="50"/>
  <c r="G131" i="50" s="1"/>
  <c r="F132" i="50"/>
  <c r="E132" i="50"/>
  <c r="Q128" i="50"/>
  <c r="L128" i="50"/>
  <c r="K128" i="50"/>
  <c r="J128" i="50"/>
  <c r="G128" i="50"/>
  <c r="F128" i="50"/>
  <c r="E128" i="50"/>
  <c r="Q126" i="50"/>
  <c r="L126" i="50"/>
  <c r="K126" i="50"/>
  <c r="J126" i="50"/>
  <c r="G126" i="50"/>
  <c r="F126" i="50"/>
  <c r="E126" i="50"/>
  <c r="Q124" i="50"/>
  <c r="L124" i="50"/>
  <c r="K124" i="50"/>
  <c r="J124" i="50"/>
  <c r="G124" i="50"/>
  <c r="F124" i="50"/>
  <c r="E124" i="50"/>
  <c r="Q118" i="50"/>
  <c r="L118" i="50"/>
  <c r="K118" i="50"/>
  <c r="J118" i="50"/>
  <c r="G118" i="50"/>
  <c r="F118" i="50"/>
  <c r="E118" i="50"/>
  <c r="Q107" i="50"/>
  <c r="L107" i="50"/>
  <c r="K107" i="50"/>
  <c r="J107" i="50"/>
  <c r="G107" i="50"/>
  <c r="F107" i="50"/>
  <c r="E107" i="50"/>
  <c r="Q104" i="50"/>
  <c r="L104" i="50"/>
  <c r="K104" i="50"/>
  <c r="J104" i="50"/>
  <c r="G104" i="50"/>
  <c r="F104" i="50"/>
  <c r="E104" i="50"/>
  <c r="Q97" i="50"/>
  <c r="L97" i="50"/>
  <c r="K97" i="50"/>
  <c r="J97" i="50"/>
  <c r="G97" i="50"/>
  <c r="F97" i="50"/>
  <c r="E97" i="50"/>
  <c r="R95" i="50"/>
  <c r="Q95" i="50"/>
  <c r="L95" i="50"/>
  <c r="K95" i="50"/>
  <c r="J95" i="50"/>
  <c r="G95" i="50"/>
  <c r="F95" i="50"/>
  <c r="E95" i="50"/>
  <c r="Q90" i="50"/>
  <c r="L90" i="50"/>
  <c r="K90" i="50"/>
  <c r="J90" i="50"/>
  <c r="G90" i="50"/>
  <c r="F90" i="50"/>
  <c r="E90" i="50"/>
  <c r="Q85" i="50"/>
  <c r="L85" i="50"/>
  <c r="K85" i="50"/>
  <c r="J85" i="50"/>
  <c r="G85" i="50"/>
  <c r="F85" i="50"/>
  <c r="E85" i="50"/>
  <c r="Q83" i="50"/>
  <c r="L83" i="50"/>
  <c r="K83" i="50"/>
  <c r="J83" i="50"/>
  <c r="G83" i="50"/>
  <c r="F83" i="50"/>
  <c r="E83" i="50"/>
  <c r="Q77" i="50"/>
  <c r="L77" i="50"/>
  <c r="K77" i="50"/>
  <c r="J77" i="50"/>
  <c r="G77" i="50"/>
  <c r="F77" i="50"/>
  <c r="E77" i="50"/>
  <c r="Q73" i="50"/>
  <c r="L73" i="50"/>
  <c r="K73" i="50"/>
  <c r="J73" i="50"/>
  <c r="G73" i="50"/>
  <c r="F73" i="50"/>
  <c r="E73" i="50"/>
  <c r="R71" i="50"/>
  <c r="Q71" i="50"/>
  <c r="L71" i="50"/>
  <c r="K71" i="50"/>
  <c r="J71" i="50"/>
  <c r="G71" i="50"/>
  <c r="F71" i="50"/>
  <c r="E71" i="50"/>
  <c r="Q66" i="50"/>
  <c r="L66" i="50"/>
  <c r="K66" i="50"/>
  <c r="J66" i="50"/>
  <c r="G66" i="50"/>
  <c r="F66" i="50"/>
  <c r="E66" i="50"/>
  <c r="Q58" i="50"/>
  <c r="L58" i="50"/>
  <c r="K58" i="50"/>
  <c r="J58" i="50"/>
  <c r="G58" i="50"/>
  <c r="F58" i="50"/>
  <c r="E58" i="50"/>
  <c r="Q52" i="50"/>
  <c r="L52" i="50"/>
  <c r="K52" i="50"/>
  <c r="J52" i="50"/>
  <c r="G52" i="50"/>
  <c r="F52" i="50"/>
  <c r="E52" i="50"/>
  <c r="Q47" i="50"/>
  <c r="L47" i="50"/>
  <c r="K47" i="50"/>
  <c r="J47" i="50"/>
  <c r="G47" i="50"/>
  <c r="F47" i="50"/>
  <c r="E47" i="50"/>
  <c r="Q42" i="50"/>
  <c r="L42" i="50"/>
  <c r="K42" i="50"/>
  <c r="J42" i="50"/>
  <c r="G42" i="50"/>
  <c r="F42" i="50"/>
  <c r="E42" i="50"/>
  <c r="Q35" i="50"/>
  <c r="L35" i="50"/>
  <c r="K35" i="50"/>
  <c r="J35" i="50"/>
  <c r="G35" i="50"/>
  <c r="F35" i="50"/>
  <c r="E35" i="50"/>
  <c r="Q29" i="50"/>
  <c r="L29" i="50"/>
  <c r="K29" i="50"/>
  <c r="J29" i="50"/>
  <c r="G29" i="50"/>
  <c r="F29" i="50"/>
  <c r="E29" i="50"/>
  <c r="Q23" i="50"/>
  <c r="L23" i="50"/>
  <c r="K23" i="50"/>
  <c r="J23" i="50"/>
  <c r="G23" i="50"/>
  <c r="F23" i="50"/>
  <c r="E23" i="50"/>
  <c r="Q18" i="50"/>
  <c r="L18" i="50"/>
  <c r="K18" i="50"/>
  <c r="J18" i="50"/>
  <c r="G18" i="50"/>
  <c r="F18" i="50"/>
  <c r="E18" i="50"/>
  <c r="Q14" i="50"/>
  <c r="J14" i="50"/>
  <c r="G14" i="50"/>
  <c r="F14" i="50"/>
  <c r="E14" i="50"/>
  <c r="D68" i="74" l="1"/>
  <c r="D65" i="74" s="1"/>
  <c r="D15" i="74"/>
  <c r="F131" i="50"/>
  <c r="Q131" i="50"/>
  <c r="C15" i="68" s="1"/>
  <c r="K17" i="68"/>
  <c r="M155" i="63"/>
  <c r="R18" i="50"/>
  <c r="R73" i="50"/>
  <c r="R134" i="50"/>
  <c r="R131" i="50" s="1"/>
  <c r="R42" i="50"/>
  <c r="R97" i="50"/>
  <c r="R85" i="50"/>
  <c r="R52" i="50"/>
  <c r="R35" i="50"/>
  <c r="S15" i="50"/>
  <c r="R107" i="50"/>
  <c r="R118" i="50"/>
  <c r="R117" i="50" s="1"/>
  <c r="R29" i="50"/>
  <c r="S90" i="50"/>
  <c r="K117" i="50"/>
  <c r="L117" i="50"/>
  <c r="B14" i="68" s="1"/>
  <c r="K14" i="68" s="1"/>
  <c r="R77" i="50"/>
  <c r="B15" i="68"/>
  <c r="K15" i="68" s="1"/>
  <c r="E131" i="50"/>
  <c r="Q117" i="50"/>
  <c r="C14" i="68" s="1"/>
  <c r="J117" i="50"/>
  <c r="F117" i="50"/>
  <c r="G117" i="50"/>
  <c r="E117" i="50"/>
  <c r="E89" i="50"/>
  <c r="F89" i="50"/>
  <c r="J89" i="50"/>
  <c r="K89" i="50"/>
  <c r="L89" i="50"/>
  <c r="B13" i="68" s="1"/>
  <c r="K13" i="68" s="1"/>
  <c r="Q89" i="50"/>
  <c r="C13" i="68" s="1"/>
  <c r="G89" i="50"/>
  <c r="J41" i="50"/>
  <c r="G41" i="50"/>
  <c r="E41" i="50"/>
  <c r="F41" i="50"/>
  <c r="L41" i="50"/>
  <c r="B12" i="68" s="1"/>
  <c r="K12" i="68" s="1"/>
  <c r="Q41" i="50"/>
  <c r="C12" i="68" s="1"/>
  <c r="K41" i="50"/>
  <c r="G13" i="50"/>
  <c r="Q13" i="50"/>
  <c r="J13" i="50"/>
  <c r="K14" i="50"/>
  <c r="K13" i="50" s="1"/>
  <c r="F13" i="50"/>
  <c r="R14" i="50"/>
  <c r="L14" i="50"/>
  <c r="L13" i="50" s="1"/>
  <c r="B11" i="68" s="1"/>
  <c r="K11" i="68" s="1"/>
  <c r="E13" i="50"/>
  <c r="C11" i="68" l="1"/>
  <c r="Q155" i="50"/>
  <c r="R89" i="50"/>
  <c r="R41" i="50"/>
  <c r="M155" i="50"/>
  <c r="R13" i="50"/>
  <c r="E155" i="50"/>
  <c r="K155" i="50"/>
  <c r="G155" i="50"/>
  <c r="F155" i="50"/>
  <c r="J155" i="50"/>
  <c r="L155" i="50"/>
  <c r="D152" i="50"/>
  <c r="D151" i="50" s="1"/>
  <c r="D148" i="50"/>
  <c r="D147" i="50" s="1"/>
  <c r="D144" i="50"/>
  <c r="D142" i="50"/>
  <c r="D137" i="50"/>
  <c r="D134" i="50"/>
  <c r="D132" i="50"/>
  <c r="D131" i="50" s="1"/>
  <c r="D128" i="50"/>
  <c r="D126" i="50"/>
  <c r="D124" i="50"/>
  <c r="D118" i="50"/>
  <c r="D107" i="50"/>
  <c r="D104" i="50"/>
  <c r="D97" i="50"/>
  <c r="D90" i="50"/>
  <c r="D85" i="50"/>
  <c r="D83" i="50"/>
  <c r="D77" i="50"/>
  <c r="D73" i="50"/>
  <c r="D71" i="50"/>
  <c r="D66" i="50"/>
  <c r="D58" i="50"/>
  <c r="D52" i="50"/>
  <c r="D47" i="50"/>
  <c r="D42" i="50"/>
  <c r="D35" i="50"/>
  <c r="D29" i="50"/>
  <c r="D23" i="50"/>
  <c r="D18" i="50"/>
  <c r="D14" i="50"/>
  <c r="D13" i="50" l="1"/>
  <c r="D117" i="50"/>
  <c r="R155" i="50"/>
  <c r="D89" i="50"/>
  <c r="D41" i="50"/>
  <c r="D155" i="50" l="1"/>
  <c r="J16" i="59"/>
  <c r="D17" i="59"/>
  <c r="C10" i="67" l="1"/>
  <c r="S142" i="50" l="1"/>
  <c r="S52" i="50"/>
  <c r="E33" i="59"/>
  <c r="C28" i="72" s="1"/>
  <c r="E29" i="59"/>
  <c r="E28" i="59" s="1"/>
  <c r="E27" i="59" s="1"/>
  <c r="E25" i="59"/>
  <c r="L25" i="59" s="1"/>
  <c r="E24" i="59"/>
  <c r="K24" i="59" s="1"/>
  <c r="E20" i="59"/>
  <c r="E18" i="59"/>
  <c r="E15" i="59"/>
  <c r="B57" i="74"/>
  <c r="B56" i="74"/>
  <c r="E33" i="74"/>
  <c r="E32" i="74"/>
  <c r="F32" i="74" s="1"/>
  <c r="E31" i="74"/>
  <c r="C19" i="59"/>
  <c r="L22" i="68"/>
  <c r="K22" i="68"/>
  <c r="M22" i="68" s="1"/>
  <c r="C30" i="68"/>
  <c r="C14" i="67"/>
  <c r="C16" i="67" s="1"/>
  <c r="B9" i="72"/>
  <c r="J32" i="59"/>
  <c r="B15" i="72" s="1"/>
  <c r="J28" i="59"/>
  <c r="J23" i="59"/>
  <c r="J22" i="59" s="1"/>
  <c r="B13" i="72" s="1"/>
  <c r="J23" i="67"/>
  <c r="I23" i="67"/>
  <c r="J30" i="67"/>
  <c r="I30" i="67"/>
  <c r="G15" i="67"/>
  <c r="G14" i="67"/>
  <c r="G16" i="67"/>
  <c r="F16" i="67"/>
  <c r="E14" i="71"/>
  <c r="S124" i="50"/>
  <c r="S95" i="50"/>
  <c r="S77" i="50"/>
  <c r="F7" i="65"/>
  <c r="F30" i="68"/>
  <c r="H30" i="68"/>
  <c r="L29" i="68"/>
  <c r="D6" i="73"/>
  <c r="D5" i="71"/>
  <c r="E18" i="71"/>
  <c r="D7" i="69"/>
  <c r="E6" i="68"/>
  <c r="E6" i="67"/>
  <c r="E7" i="63"/>
  <c r="E7" i="49"/>
  <c r="E7" i="50"/>
  <c r="D33" i="74"/>
  <c r="K33" i="59"/>
  <c r="D32" i="74"/>
  <c r="L29" i="59"/>
  <c r="L28" i="59" s="1"/>
  <c r="L27" i="59" s="1"/>
  <c r="E19" i="59"/>
  <c r="E14" i="59"/>
  <c r="D23" i="59"/>
  <c r="D22" i="59" s="1"/>
  <c r="C23" i="59"/>
  <c r="C22" i="59" s="1"/>
  <c r="L24" i="59"/>
  <c r="L26" i="68"/>
  <c r="E30" i="68"/>
  <c r="D27" i="68"/>
  <c r="C26" i="67"/>
  <c r="C29" i="67" s="1"/>
  <c r="C25" i="67"/>
  <c r="C23" i="67"/>
  <c r="C13" i="67"/>
  <c r="J13" i="67"/>
  <c r="I13" i="67"/>
  <c r="H13" i="67"/>
  <c r="G13" i="67"/>
  <c r="F13" i="67"/>
  <c r="J25" i="67"/>
  <c r="I25" i="67"/>
  <c r="G25" i="67"/>
  <c r="J29" i="67"/>
  <c r="I29" i="67"/>
  <c r="S152" i="50"/>
  <c r="D28" i="59"/>
  <c r="D27" i="59" s="1"/>
  <c r="C28" i="59"/>
  <c r="C27" i="59" s="1"/>
  <c r="D19" i="59"/>
  <c r="D32" i="59"/>
  <c r="D31" i="59"/>
  <c r="C32" i="59"/>
  <c r="C31" i="59"/>
  <c r="D16" i="59"/>
  <c r="C17" i="59"/>
  <c r="D14" i="59"/>
  <c r="C14" i="59"/>
  <c r="L27" i="68"/>
  <c r="F27" i="67" s="1"/>
  <c r="G27" i="67" s="1"/>
  <c r="G29" i="67" s="1"/>
  <c r="I28" i="68"/>
  <c r="I30" i="68" s="1"/>
  <c r="M27" i="68"/>
  <c r="F12" i="69"/>
  <c r="F18" i="69"/>
  <c r="K25" i="59"/>
  <c r="E32" i="59"/>
  <c r="E31" i="59" s="1"/>
  <c r="L33" i="59"/>
  <c r="L32" i="59" s="1"/>
  <c r="L31" i="59" s="1"/>
  <c r="D11" i="73"/>
  <c r="H22" i="67"/>
  <c r="H23" i="67"/>
  <c r="K23" i="68"/>
  <c r="L15" i="59"/>
  <c r="J14" i="59"/>
  <c r="S83" i="50"/>
  <c r="C16" i="59"/>
  <c r="C13" i="59"/>
  <c r="E17" i="59"/>
  <c r="E16" i="59" s="1"/>
  <c r="L17" i="59"/>
  <c r="K29" i="59"/>
  <c r="J19" i="59"/>
  <c r="L20" i="59"/>
  <c r="L19" i="59" s="1"/>
  <c r="D26" i="68"/>
  <c r="B30" i="68"/>
  <c r="L18" i="59"/>
  <c r="C11" i="67"/>
  <c r="L23" i="59" l="1"/>
  <c r="L22" i="59" s="1"/>
  <c r="L28" i="68"/>
  <c r="F28" i="67" s="1"/>
  <c r="H28" i="67" s="1"/>
  <c r="S147" i="50"/>
  <c r="S89" i="50"/>
  <c r="S118" i="50"/>
  <c r="S117" i="50"/>
  <c r="S104" i="50"/>
  <c r="S126" i="50"/>
  <c r="S134" i="50"/>
  <c r="S71" i="50"/>
  <c r="S132" i="50"/>
  <c r="S96" i="50"/>
  <c r="S58" i="50"/>
  <c r="S128" i="50"/>
  <c r="S47" i="50"/>
  <c r="S18" i="50"/>
  <c r="S148" i="50"/>
  <c r="S35" i="50"/>
  <c r="S66" i="50"/>
  <c r="S29" i="50"/>
  <c r="S151" i="50"/>
  <c r="S42" i="50"/>
  <c r="S155" i="50"/>
  <c r="S144" i="50"/>
  <c r="S85" i="50"/>
  <c r="S137" i="50"/>
  <c r="S107" i="50"/>
  <c r="C27" i="72"/>
  <c r="F35" i="59"/>
  <c r="F33" i="74"/>
  <c r="K32" i="59"/>
  <c r="E23" i="59"/>
  <c r="E22" i="59" s="1"/>
  <c r="D31" i="74"/>
  <c r="D35" i="74" s="1"/>
  <c r="D13" i="59"/>
  <c r="D11" i="59" s="1"/>
  <c r="D35" i="59" s="1"/>
  <c r="E13" i="59"/>
  <c r="K28" i="59"/>
  <c r="C11" i="59"/>
  <c r="C35" i="59" s="1"/>
  <c r="K22" i="59"/>
  <c r="L16" i="59"/>
  <c r="L13" i="59" s="1"/>
  <c r="K30" i="68"/>
  <c r="M26" i="68"/>
  <c r="D30" i="68"/>
  <c r="F26" i="67"/>
  <c r="H26" i="67" s="1"/>
  <c r="F14" i="68"/>
  <c r="J31" i="59"/>
  <c r="K31" i="59" s="1"/>
  <c r="J13" i="59"/>
  <c r="J27" i="59"/>
  <c r="M28" i="68"/>
  <c r="L30" i="68"/>
  <c r="C30" i="67"/>
  <c r="H29" i="67" l="1"/>
  <c r="L11" i="59"/>
  <c r="L35" i="59" s="1"/>
  <c r="K23" i="59"/>
  <c r="B31" i="68"/>
  <c r="G12" i="68"/>
  <c r="S14" i="50"/>
  <c r="S23" i="50"/>
  <c r="S131" i="50"/>
  <c r="D13" i="68"/>
  <c r="S97" i="50"/>
  <c r="D15" i="68"/>
  <c r="S73" i="50"/>
  <c r="K27" i="59"/>
  <c r="B14" i="72"/>
  <c r="E34" i="74"/>
  <c r="B16" i="72"/>
  <c r="E11" i="59"/>
  <c r="E35" i="59" s="1"/>
  <c r="F31" i="74"/>
  <c r="E31" i="68"/>
  <c r="H31" i="68"/>
  <c r="F29" i="67"/>
  <c r="J11" i="59"/>
  <c r="J35" i="59" s="1"/>
  <c r="L17" i="68"/>
  <c r="L14" i="68"/>
  <c r="F20" i="67" s="1"/>
  <c r="G20" i="67" s="1"/>
  <c r="C31" i="68"/>
  <c r="F31" i="68"/>
  <c r="I31" i="68"/>
  <c r="M30" i="68"/>
  <c r="L16" i="68"/>
  <c r="C12" i="72" l="1"/>
  <c r="D49" i="74"/>
  <c r="D53" i="74"/>
  <c r="D52" i="74"/>
  <c r="E35" i="74"/>
  <c r="K35" i="59"/>
  <c r="K11" i="59"/>
  <c r="K31" i="68"/>
  <c r="B18" i="69"/>
  <c r="C16" i="69" s="1"/>
  <c r="B12" i="69"/>
  <c r="L12" i="68"/>
  <c r="F18" i="67" s="1"/>
  <c r="G18" i="67" s="1"/>
  <c r="C18" i="68"/>
  <c r="C32" i="68" s="1"/>
  <c r="L31" i="68"/>
  <c r="L11" i="68"/>
  <c r="G11" i="68"/>
  <c r="F24" i="67"/>
  <c r="D10" i="74" l="1"/>
  <c r="D47" i="74" s="1"/>
  <c r="G15" i="68"/>
  <c r="D11" i="74"/>
  <c r="D48" i="74" s="1"/>
  <c r="J11" i="68"/>
  <c r="J12" i="68"/>
  <c r="S13" i="50"/>
  <c r="C14" i="69"/>
  <c r="S41" i="50"/>
  <c r="F17" i="67"/>
  <c r="G17" i="67" s="1"/>
  <c r="F25" i="67"/>
  <c r="H24" i="67"/>
  <c r="H25" i="67" s="1"/>
  <c r="H30" i="67" s="1"/>
  <c r="D51" i="74" l="1"/>
  <c r="H18" i="68"/>
  <c r="H32" i="68" s="1"/>
  <c r="M11" i="68"/>
  <c r="D11" i="68"/>
  <c r="C18" i="69"/>
  <c r="C12" i="69"/>
  <c r="E18" i="68"/>
  <c r="M16" i="68"/>
  <c r="B18" i="68"/>
  <c r="D12" i="68"/>
  <c r="D61" i="74" l="1"/>
  <c r="D71" i="74" s="1"/>
  <c r="D50" i="74"/>
  <c r="D17" i="74"/>
  <c r="E32" i="68"/>
  <c r="B32" i="68"/>
  <c r="D18" i="68"/>
  <c r="K18" i="68"/>
  <c r="M12" i="68"/>
  <c r="J15" i="68"/>
  <c r="I18" i="68"/>
  <c r="L15" i="68"/>
  <c r="D54" i="74" l="1"/>
  <c r="D32" i="68"/>
  <c r="H19" i="68"/>
  <c r="K32" i="68"/>
  <c r="B33" i="68" s="1"/>
  <c r="E19" i="68"/>
  <c r="B19" i="68"/>
  <c r="I32" i="68"/>
  <c r="J18" i="68"/>
  <c r="F21" i="67"/>
  <c r="M15" i="68"/>
  <c r="K19" i="68" l="1"/>
  <c r="E33" i="68"/>
  <c r="H33" i="68"/>
  <c r="G21" i="67"/>
  <c r="J32" i="68"/>
  <c r="K33" i="68" l="1"/>
  <c r="D27" i="74" l="1"/>
  <c r="I14" i="59" l="1"/>
  <c r="I16" i="59"/>
  <c r="I19" i="59"/>
  <c r="I23" i="59"/>
  <c r="I22" i="59"/>
  <c r="I28" i="59"/>
  <c r="I27" i="59" s="1"/>
  <c r="I32" i="59"/>
  <c r="I31" i="59" s="1"/>
  <c r="I13" i="59" l="1"/>
  <c r="I11" i="59" s="1"/>
  <c r="I35" i="59" s="1"/>
  <c r="H35" i="59"/>
  <c r="G35" i="59"/>
  <c r="Q16" i="63"/>
  <c r="P16" i="63"/>
  <c r="P14" i="50"/>
  <c r="O16" i="63"/>
  <c r="R16" i="63" l="1"/>
  <c r="S16" i="63" l="1"/>
  <c r="T16" i="63"/>
  <c r="P18" i="50" l="1"/>
  <c r="O22" i="63"/>
  <c r="Q22" i="63"/>
  <c r="P22" i="63"/>
  <c r="R22" i="63" l="1"/>
  <c r="S22" i="63" s="1"/>
  <c r="T22" i="63" l="1"/>
  <c r="P23" i="50"/>
  <c r="P29" i="50" l="1"/>
  <c r="P35" i="50" l="1"/>
  <c r="P13" i="50" s="1"/>
  <c r="P42" i="50" l="1"/>
  <c r="Q43" i="63"/>
  <c r="P43" i="63"/>
  <c r="P45" i="63"/>
  <c r="Q45" i="63"/>
  <c r="O46" i="63"/>
  <c r="Q46" i="63"/>
  <c r="P46" i="63"/>
  <c r="O45" i="63"/>
  <c r="O43" i="63"/>
  <c r="R43" i="63" l="1"/>
  <c r="T43" i="63" s="1"/>
  <c r="R45" i="63"/>
  <c r="T45" i="63" s="1"/>
  <c r="R46" i="63"/>
  <c r="S46" i="63" s="1"/>
  <c r="S45" i="63" l="1"/>
  <c r="S43" i="63"/>
  <c r="T46" i="63"/>
  <c r="P48" i="63"/>
  <c r="Q48" i="63"/>
  <c r="P49" i="63"/>
  <c r="O49" i="63"/>
  <c r="P47" i="50"/>
  <c r="Q49" i="63"/>
  <c r="O48" i="63"/>
  <c r="R48" i="63" s="1"/>
  <c r="R49" i="63" l="1"/>
  <c r="S49" i="63" s="1"/>
  <c r="S48" i="63"/>
  <c r="T48" i="63"/>
  <c r="T49" i="63" l="1"/>
  <c r="O57" i="63"/>
  <c r="P57" i="63"/>
  <c r="Q57" i="63"/>
  <c r="P52" i="50"/>
  <c r="R57" i="63" l="1"/>
  <c r="S57" i="63" s="1"/>
  <c r="T57" i="63" l="1"/>
  <c r="P58" i="50"/>
  <c r="P66" i="50" l="1"/>
  <c r="Q70" i="63"/>
  <c r="P70" i="63"/>
  <c r="P69" i="63"/>
  <c r="O70" i="63"/>
  <c r="Q69" i="63"/>
  <c r="O69" i="63"/>
  <c r="R70" i="63" l="1"/>
  <c r="S70" i="63" s="1"/>
  <c r="R69" i="63"/>
  <c r="T69" i="63" s="1"/>
  <c r="S69" i="63" l="1"/>
  <c r="T70" i="63"/>
  <c r="P72" i="63"/>
  <c r="P71" i="63" s="1"/>
  <c r="Q72" i="63"/>
  <c r="Q71" i="63" s="1"/>
  <c r="P71" i="50"/>
  <c r="O72" i="63"/>
  <c r="O71" i="63" s="1"/>
  <c r="R72" i="63" l="1"/>
  <c r="T72" i="63" l="1"/>
  <c r="R71" i="63"/>
  <c r="S72" i="63"/>
  <c r="S71" i="63" l="1"/>
  <c r="T71" i="63"/>
  <c r="P73" i="50"/>
  <c r="P76" i="63"/>
  <c r="O76" i="63"/>
  <c r="Q76" i="63"/>
  <c r="R76" i="63" l="1"/>
  <c r="S76" i="63" s="1"/>
  <c r="P78" i="63"/>
  <c r="Q78" i="63"/>
  <c r="P81" i="63"/>
  <c r="P80" i="63"/>
  <c r="P82" i="63"/>
  <c r="P77" i="50"/>
  <c r="Q82" i="63"/>
  <c r="Q80" i="63"/>
  <c r="O80" i="63"/>
  <c r="Q79" i="63"/>
  <c r="O82" i="63"/>
  <c r="R82" i="63" s="1"/>
  <c r="Q81" i="63"/>
  <c r="O78" i="63"/>
  <c r="O81" i="63"/>
  <c r="P79" i="63"/>
  <c r="O79" i="63"/>
  <c r="T76" i="63" l="1"/>
  <c r="Q77" i="63"/>
  <c r="R81" i="63"/>
  <c r="T81" i="63" s="1"/>
  <c r="R80" i="63"/>
  <c r="R79" i="63"/>
  <c r="S79" i="63" s="1"/>
  <c r="T82" i="63"/>
  <c r="S82" i="63"/>
  <c r="O77" i="63"/>
  <c r="S80" i="63"/>
  <c r="T80" i="63"/>
  <c r="P77" i="63"/>
  <c r="R78" i="63"/>
  <c r="T79" i="63" l="1"/>
  <c r="S81" i="63"/>
  <c r="R77" i="63"/>
  <c r="T78" i="63"/>
  <c r="S78" i="63"/>
  <c r="S77" i="63" l="1"/>
  <c r="T77" i="63"/>
  <c r="P84" i="63"/>
  <c r="P83" i="63" s="1"/>
  <c r="P83" i="50"/>
  <c r="Q84" i="63"/>
  <c r="O84" i="63"/>
  <c r="O83" i="63" s="1"/>
  <c r="R84" i="63" l="1"/>
  <c r="R83" i="63" s="1"/>
  <c r="T84" i="63"/>
  <c r="Q83" i="63"/>
  <c r="S84" i="63" l="1"/>
  <c r="T83" i="63"/>
  <c r="S83" i="63"/>
  <c r="Q86" i="63"/>
  <c r="P86" i="63"/>
  <c r="P85" i="50"/>
  <c r="P41" i="50" s="1"/>
  <c r="O87" i="63"/>
  <c r="P87" i="63"/>
  <c r="Q87" i="63"/>
  <c r="O86" i="63"/>
  <c r="R86" i="63" l="1"/>
  <c r="Q85" i="63"/>
  <c r="R87" i="63"/>
  <c r="S87" i="63" s="1"/>
  <c r="P85" i="63"/>
  <c r="O85" i="63"/>
  <c r="R85" i="63" l="1"/>
  <c r="S86" i="63"/>
  <c r="T86" i="63"/>
  <c r="T87" i="63"/>
  <c r="S85" i="63"/>
  <c r="T85" i="63"/>
  <c r="P90" i="50" l="1"/>
  <c r="P95" i="50" l="1"/>
  <c r="P97" i="50" l="1"/>
  <c r="O103" i="63"/>
  <c r="P103" i="63"/>
  <c r="Q103" i="63"/>
  <c r="R103" i="63" l="1"/>
  <c r="S103" i="63" s="1"/>
  <c r="T103" i="63" l="1"/>
  <c r="P104" i="50"/>
  <c r="O106" i="63"/>
  <c r="P106" i="63"/>
  <c r="Q106" i="63"/>
  <c r="R106" i="63" l="1"/>
  <c r="S106" i="63" s="1"/>
  <c r="T106" i="63"/>
  <c r="P107" i="50" l="1"/>
  <c r="P89" i="50" s="1"/>
  <c r="P118" i="50" l="1"/>
  <c r="O120" i="63"/>
  <c r="Q119" i="63"/>
  <c r="P119" i="63"/>
  <c r="O123" i="63"/>
  <c r="P120" i="63"/>
  <c r="Q121" i="63"/>
  <c r="P121" i="63"/>
  <c r="P123" i="63"/>
  <c r="P122" i="63"/>
  <c r="O121" i="63"/>
  <c r="O122" i="63"/>
  <c r="Q120" i="63"/>
  <c r="Q122" i="63"/>
  <c r="O119" i="63"/>
  <c r="Q123" i="63"/>
  <c r="R121" i="63" l="1"/>
  <c r="S121" i="63" s="1"/>
  <c r="T121" i="63"/>
  <c r="R122" i="63"/>
  <c r="P118" i="63"/>
  <c r="R123" i="63"/>
  <c r="T123" i="63" s="1"/>
  <c r="O118" i="63"/>
  <c r="R120" i="63"/>
  <c r="R119" i="63"/>
  <c r="S122" i="63"/>
  <c r="T122" i="63"/>
  <c r="S123" i="63"/>
  <c r="Q118" i="63"/>
  <c r="R118" i="63" l="1"/>
  <c r="T119" i="63"/>
  <c r="S119" i="63"/>
  <c r="T120" i="63"/>
  <c r="S120" i="63"/>
  <c r="S118" i="63" l="1"/>
  <c r="T118" i="63"/>
  <c r="Q125" i="63"/>
  <c r="Q124" i="63" s="1"/>
  <c r="P125" i="63"/>
  <c r="P124" i="50"/>
  <c r="O125" i="63"/>
  <c r="O124" i="63" s="1"/>
  <c r="R125" i="63" l="1"/>
  <c r="R124" i="63" s="1"/>
  <c r="P124" i="63"/>
  <c r="S125" i="63" l="1"/>
  <c r="T125" i="63"/>
  <c r="T124" i="63"/>
  <c r="S124" i="63"/>
  <c r="E66" i="74"/>
  <c r="F66" i="74" l="1"/>
  <c r="P126" i="50"/>
  <c r="O127" i="63"/>
  <c r="R127" i="63" s="1"/>
  <c r="O126" i="63" l="1"/>
  <c r="R126" i="63"/>
  <c r="S127" i="63"/>
  <c r="T127" i="63"/>
  <c r="S126" i="63" l="1"/>
  <c r="T126" i="63"/>
  <c r="P128" i="50"/>
  <c r="P117" i="50" s="1"/>
  <c r="P132" i="50" l="1"/>
  <c r="P133" i="63"/>
  <c r="P132" i="63" s="1"/>
  <c r="Q133" i="63"/>
  <c r="Q132" i="63" s="1"/>
  <c r="O133" i="63"/>
  <c r="R133" i="63" l="1"/>
  <c r="T133" i="63" s="1"/>
  <c r="O132" i="63"/>
  <c r="S133" i="63" l="1"/>
  <c r="R132" i="63"/>
  <c r="S132" i="63" s="1"/>
  <c r="P134" i="50"/>
  <c r="P135" i="63"/>
  <c r="Q135" i="63"/>
  <c r="O135" i="63"/>
  <c r="T132" i="63" l="1"/>
  <c r="R135" i="63"/>
  <c r="S135" i="63" s="1"/>
  <c r="T135" i="63" l="1"/>
  <c r="P137" i="50"/>
  <c r="P140" i="50" l="1"/>
  <c r="P143" i="63" l="1"/>
  <c r="P142" i="63" s="1"/>
  <c r="P142" i="50"/>
  <c r="Q143" i="63"/>
  <c r="Q142" i="63" s="1"/>
  <c r="O143" i="63"/>
  <c r="R143" i="63" l="1"/>
  <c r="S143" i="63" s="1"/>
  <c r="O142" i="63"/>
  <c r="R142" i="63" l="1"/>
  <c r="S142" i="63" s="1"/>
  <c r="T143" i="63"/>
  <c r="T142" i="63"/>
  <c r="P145" i="63"/>
  <c r="Q145" i="63"/>
  <c r="Q144" i="63" s="1"/>
  <c r="P144" i="50"/>
  <c r="P131" i="50" s="1"/>
  <c r="O145" i="63"/>
  <c r="O144" i="63" s="1"/>
  <c r="R145" i="63" l="1"/>
  <c r="R144" i="63" s="1"/>
  <c r="P144" i="63"/>
  <c r="S145" i="63" l="1"/>
  <c r="T145" i="63"/>
  <c r="T144" i="63"/>
  <c r="S144" i="63"/>
  <c r="Q149" i="63" l="1"/>
  <c r="Q148" i="63" s="1"/>
  <c r="Q147" i="63" s="1"/>
  <c r="P148" i="50"/>
  <c r="P147" i="50" s="1"/>
  <c r="P149" i="63"/>
  <c r="P148" i="63" s="1"/>
  <c r="P147" i="63" s="1"/>
  <c r="N155" i="50"/>
  <c r="O149" i="63"/>
  <c r="O148" i="63" s="1"/>
  <c r="O147" i="63" s="1"/>
  <c r="R149" i="63" l="1"/>
  <c r="T149" i="63" s="1"/>
  <c r="S149" i="63" l="1"/>
  <c r="R148" i="63"/>
  <c r="S148" i="63" s="1"/>
  <c r="P152" i="50"/>
  <c r="P151" i="50" s="1"/>
  <c r="P155" i="50" s="1"/>
  <c r="O155" i="50"/>
  <c r="P153" i="63"/>
  <c r="P152" i="63" s="1"/>
  <c r="P151" i="63" s="1"/>
  <c r="Q153" i="63"/>
  <c r="Q152" i="63" s="1"/>
  <c r="Q151" i="63" s="1"/>
  <c r="O153" i="63"/>
  <c r="O152" i="63" s="1"/>
  <c r="O151" i="63" s="1"/>
  <c r="R147" i="63" l="1"/>
  <c r="E15" i="74" s="1"/>
  <c r="T148" i="63"/>
  <c r="R153" i="63"/>
  <c r="E68" i="74" l="1"/>
  <c r="F68" i="74" s="1"/>
  <c r="T147" i="63"/>
  <c r="B24" i="72"/>
  <c r="S147" i="63"/>
  <c r="G15" i="74"/>
  <c r="E52" i="74"/>
  <c r="F52" i="74" s="1"/>
  <c r="R152" i="63"/>
  <c r="T153" i="63"/>
  <c r="S153" i="63"/>
  <c r="R151" i="63" l="1"/>
  <c r="T152" i="63"/>
  <c r="S152" i="63"/>
  <c r="S151" i="63" l="1"/>
  <c r="T151" i="63"/>
  <c r="E70" i="74"/>
  <c r="E16" i="74"/>
  <c r="G16" i="74" l="1"/>
  <c r="P18" i="49"/>
  <c r="P23" i="49" l="1"/>
  <c r="P29" i="49" l="1"/>
  <c r="P35" i="49" l="1"/>
  <c r="P13" i="49" s="1"/>
  <c r="Q44" i="63" l="1"/>
  <c r="Q42" i="63" s="1"/>
  <c r="P44" i="63"/>
  <c r="P42" i="63" s="1"/>
  <c r="P42" i="49"/>
  <c r="O44" i="63"/>
  <c r="O42" i="63" s="1"/>
  <c r="R44" i="63" l="1"/>
  <c r="R42" i="63" s="1"/>
  <c r="T42" i="63" s="1"/>
  <c r="Q50" i="63"/>
  <c r="P47" i="49"/>
  <c r="P51" i="63"/>
  <c r="Q51" i="63"/>
  <c r="O51" i="63"/>
  <c r="P50" i="63"/>
  <c r="P47" i="63" s="1"/>
  <c r="O50" i="63"/>
  <c r="S44" i="63" l="1"/>
  <c r="T44" i="63"/>
  <c r="S42" i="63"/>
  <c r="Q47" i="63"/>
  <c r="R50" i="63"/>
  <c r="O47" i="63"/>
  <c r="R51" i="63"/>
  <c r="T51" i="63" s="1"/>
  <c r="S51" i="63"/>
  <c r="T50" i="63"/>
  <c r="S50" i="63"/>
  <c r="R47" i="63" l="1"/>
  <c r="S47" i="63"/>
  <c r="T47" i="63"/>
  <c r="P52" i="49"/>
  <c r="Q56" i="63"/>
  <c r="P56" i="63"/>
  <c r="P55" i="63"/>
  <c r="Q55" i="63"/>
  <c r="O55" i="63"/>
  <c r="O56" i="63"/>
  <c r="R56" i="63" l="1"/>
  <c r="S56" i="63" s="1"/>
  <c r="T56" i="63"/>
  <c r="R55" i="63"/>
  <c r="S55" i="63" l="1"/>
  <c r="T55" i="63"/>
  <c r="P59" i="63" l="1"/>
  <c r="Q59" i="63"/>
  <c r="P58" i="49"/>
  <c r="P61" i="63"/>
  <c r="P63" i="63"/>
  <c r="O61" i="63"/>
  <c r="O63" i="63"/>
  <c r="O64" i="63"/>
  <c r="O65" i="63"/>
  <c r="Q60" i="63"/>
  <c r="Q63" i="63"/>
  <c r="O60" i="63"/>
  <c r="Q61" i="63"/>
  <c r="P64" i="63"/>
  <c r="P65" i="63"/>
  <c r="P60" i="63"/>
  <c r="Q64" i="63"/>
  <c r="Q65" i="63"/>
  <c r="O59" i="63"/>
  <c r="R63" i="63" l="1"/>
  <c r="T63" i="63" s="1"/>
  <c r="R61" i="63"/>
  <c r="T61" i="63" s="1"/>
  <c r="R64" i="63"/>
  <c r="T64" i="63" s="1"/>
  <c r="R60" i="63"/>
  <c r="S60" i="63" s="1"/>
  <c r="R65" i="63"/>
  <c r="T65" i="63" s="1"/>
  <c r="R59" i="63"/>
  <c r="T59" i="63" s="1"/>
  <c r="S61" i="63"/>
  <c r="S63" i="63" l="1"/>
  <c r="S64" i="63"/>
  <c r="S59" i="63"/>
  <c r="S65" i="63"/>
  <c r="T60" i="63"/>
  <c r="P66" i="49"/>
  <c r="P73" i="49" l="1"/>
  <c r="P41" i="49" s="1"/>
  <c r="P93" i="63" l="1"/>
  <c r="Q92" i="63"/>
  <c r="P90" i="49"/>
  <c r="O92" i="63"/>
  <c r="O94" i="63"/>
  <c r="O93" i="63"/>
  <c r="P94" i="63"/>
  <c r="Q94" i="63"/>
  <c r="O91" i="63"/>
  <c r="O90" i="63" s="1"/>
  <c r="P91" i="63"/>
  <c r="Q93" i="63"/>
  <c r="P92" i="63"/>
  <c r="Q91" i="63"/>
  <c r="R93" i="63" l="1"/>
  <c r="S93" i="63" s="1"/>
  <c r="Q90" i="63"/>
  <c r="P90" i="63"/>
  <c r="R94" i="63"/>
  <c r="T94" i="63" s="1"/>
  <c r="R92" i="63"/>
  <c r="S92" i="63" s="1"/>
  <c r="T92" i="63"/>
  <c r="R91" i="63"/>
  <c r="S94" i="63" l="1"/>
  <c r="T93" i="63"/>
  <c r="T91" i="63"/>
  <c r="S91" i="63"/>
  <c r="R90" i="63"/>
  <c r="T90" i="63" l="1"/>
  <c r="S90" i="63"/>
  <c r="Q96" i="63"/>
  <c r="Q95" i="63" s="1"/>
  <c r="P96" i="63"/>
  <c r="P95" i="63" s="1"/>
  <c r="P95" i="49"/>
  <c r="O96" i="63"/>
  <c r="O95" i="63" s="1"/>
  <c r="Q98" i="63"/>
  <c r="P98" i="63"/>
  <c r="P100" i="63"/>
  <c r="P99" i="63"/>
  <c r="O100" i="63"/>
  <c r="P102" i="63"/>
  <c r="Q99" i="63"/>
  <c r="O101" i="63"/>
  <c r="P101" i="63"/>
  <c r="Q100" i="63"/>
  <c r="Q101" i="63"/>
  <c r="O99" i="63"/>
  <c r="O98" i="63"/>
  <c r="Q102" i="63"/>
  <c r="O102" i="63"/>
  <c r="Q97" i="63" l="1"/>
  <c r="R100" i="63"/>
  <c r="T100" i="63" s="1"/>
  <c r="R101" i="63"/>
  <c r="T101" i="63" s="1"/>
  <c r="R96" i="63"/>
  <c r="P97" i="63"/>
  <c r="S96" i="63"/>
  <c r="O97" i="63"/>
  <c r="R102" i="63"/>
  <c r="S102" i="63" s="1"/>
  <c r="R99" i="63"/>
  <c r="T99" i="63" s="1"/>
  <c r="R98" i="63"/>
  <c r="T98" i="63" s="1"/>
  <c r="S99" i="63" l="1"/>
  <c r="S101" i="63"/>
  <c r="S100" i="63"/>
  <c r="T102" i="63"/>
  <c r="S98" i="63"/>
  <c r="R97" i="63"/>
  <c r="S97" i="63" s="1"/>
  <c r="T96" i="63"/>
  <c r="R95" i="63"/>
  <c r="T97" i="63"/>
  <c r="P104" i="49"/>
  <c r="Q105" i="63"/>
  <c r="Q104" i="63" s="1"/>
  <c r="P105" i="63"/>
  <c r="P104" i="63" s="1"/>
  <c r="O105" i="63"/>
  <c r="O104" i="63" s="1"/>
  <c r="R105" i="63" l="1"/>
  <c r="R104" i="63" s="1"/>
  <c r="T104" i="63" s="1"/>
  <c r="S95" i="63"/>
  <c r="T95" i="63"/>
  <c r="P107" i="49"/>
  <c r="P89" i="49" s="1"/>
  <c r="Q108" i="63"/>
  <c r="P108" i="63"/>
  <c r="O111" i="63"/>
  <c r="P110" i="63"/>
  <c r="Q111" i="63"/>
  <c r="Q112" i="63"/>
  <c r="Q109" i="63"/>
  <c r="P109" i="63"/>
  <c r="O113" i="63"/>
  <c r="O110" i="63"/>
  <c r="O109" i="63"/>
  <c r="P114" i="63"/>
  <c r="O114" i="63"/>
  <c r="P115" i="63"/>
  <c r="Q113" i="63"/>
  <c r="Q115" i="63"/>
  <c r="Q114" i="63"/>
  <c r="P113" i="63"/>
  <c r="Q110" i="63"/>
  <c r="O112" i="63"/>
  <c r="P112" i="63"/>
  <c r="O108" i="63"/>
  <c r="P111" i="63"/>
  <c r="O115" i="63"/>
  <c r="S105" i="63" l="1"/>
  <c r="S104" i="63"/>
  <c r="T105" i="63"/>
  <c r="Q107" i="63"/>
  <c r="Q89" i="63" s="1"/>
  <c r="R112" i="63"/>
  <c r="R108" i="63"/>
  <c r="T108" i="63" s="1"/>
  <c r="R109" i="63"/>
  <c r="T109" i="63" s="1"/>
  <c r="R110" i="63"/>
  <c r="R114" i="63"/>
  <c r="S114" i="63" s="1"/>
  <c r="R111" i="63"/>
  <c r="P107" i="63"/>
  <c r="P89" i="63" s="1"/>
  <c r="R113" i="63"/>
  <c r="T113" i="63" s="1"/>
  <c r="R115" i="63"/>
  <c r="S115" i="63" s="1"/>
  <c r="T110" i="63"/>
  <c r="S110" i="63"/>
  <c r="S111" i="63"/>
  <c r="T111" i="63"/>
  <c r="S112" i="63"/>
  <c r="T112" i="63"/>
  <c r="O107" i="63"/>
  <c r="O89" i="63" s="1"/>
  <c r="T115" i="63" l="1"/>
  <c r="S108" i="63"/>
  <c r="R107" i="63"/>
  <c r="S107" i="63" s="1"/>
  <c r="T114" i="63"/>
  <c r="S109" i="63"/>
  <c r="S113" i="63"/>
  <c r="R89" i="63" l="1"/>
  <c r="E12" i="74" s="1"/>
  <c r="T107" i="63"/>
  <c r="T89" i="63" l="1"/>
  <c r="S89" i="63"/>
  <c r="B21" i="72"/>
  <c r="E49" i="74"/>
  <c r="G12" i="74"/>
  <c r="F49" i="74" l="1"/>
  <c r="P134" i="49"/>
  <c r="Q136" i="63"/>
  <c r="Q134" i="63" s="1"/>
  <c r="O136" i="63"/>
  <c r="O134" i="63" s="1"/>
  <c r="P136" i="63"/>
  <c r="P134" i="63" s="1"/>
  <c r="R136" i="63" l="1"/>
  <c r="R134" i="63" l="1"/>
  <c r="T136" i="63"/>
  <c r="S136" i="63"/>
  <c r="T134" i="63" l="1"/>
  <c r="S134" i="63"/>
  <c r="P137" i="49"/>
  <c r="P141" i="63" l="1"/>
  <c r="P140" i="63" s="1"/>
  <c r="P140" i="49"/>
  <c r="P131" i="49" s="1"/>
  <c r="P155" i="49" s="1"/>
  <c r="Q141" i="63"/>
  <c r="Q140" i="63" s="1"/>
  <c r="N155" i="49"/>
  <c r="O141" i="63"/>
  <c r="O140" i="63" s="1"/>
  <c r="R141" i="63" l="1"/>
  <c r="R140" i="63" l="1"/>
  <c r="T141" i="63"/>
  <c r="T140" i="63" s="1"/>
  <c r="S141" i="63"/>
  <c r="S140" i="63" s="1"/>
  <c r="O15" i="63"/>
  <c r="Q15" i="63"/>
  <c r="P15" i="63"/>
  <c r="R15" i="63" l="1"/>
  <c r="T15" i="63" l="1"/>
  <c r="S15" i="63"/>
  <c r="Q17" i="63"/>
  <c r="Q14" i="63" s="1"/>
  <c r="P17" i="63"/>
  <c r="P14" i="63" s="1"/>
  <c r="P14" i="65"/>
  <c r="O17" i="63"/>
  <c r="O14" i="63" s="1"/>
  <c r="R17" i="63" l="1"/>
  <c r="R14" i="63" s="1"/>
  <c r="T14" i="63" s="1"/>
  <c r="P18" i="65"/>
  <c r="P19" i="63"/>
  <c r="Q20" i="63"/>
  <c r="Q19" i="63"/>
  <c r="O21" i="63"/>
  <c r="P21" i="63"/>
  <c r="O20" i="63"/>
  <c r="P20" i="63"/>
  <c r="O19" i="63"/>
  <c r="Q21" i="63"/>
  <c r="Q18" i="63" l="1"/>
  <c r="S17" i="63"/>
  <c r="T17" i="63"/>
  <c r="S14" i="63"/>
  <c r="R20" i="63"/>
  <c r="R21" i="63"/>
  <c r="T20" i="63"/>
  <c r="S20" i="63"/>
  <c r="O18" i="63"/>
  <c r="R19" i="63"/>
  <c r="R18" i="63" s="1"/>
  <c r="T19" i="63"/>
  <c r="T21" i="63"/>
  <c r="S21" i="63"/>
  <c r="P18" i="63"/>
  <c r="S19" i="63" l="1"/>
  <c r="T18" i="63"/>
  <c r="S18" i="63"/>
  <c r="P24" i="63"/>
  <c r="Q24" i="63"/>
  <c r="O27" i="63"/>
  <c r="O28" i="63"/>
  <c r="Q27" i="63"/>
  <c r="P23" i="65"/>
  <c r="P26" i="63"/>
  <c r="Q26" i="63"/>
  <c r="P27" i="63"/>
  <c r="Q25" i="63"/>
  <c r="Q28" i="63"/>
  <c r="P28" i="63"/>
  <c r="P25" i="63"/>
  <c r="O26" i="63"/>
  <c r="O25" i="63"/>
  <c r="O24" i="63"/>
  <c r="R24" i="63" l="1"/>
  <c r="S24" i="63" s="1"/>
  <c r="R26" i="63"/>
  <c r="T26" i="63" s="1"/>
  <c r="R25" i="63"/>
  <c r="S25" i="63" s="1"/>
  <c r="R28" i="63"/>
  <c r="R27" i="63"/>
  <c r="T27" i="63" s="1"/>
  <c r="Q23" i="63"/>
  <c r="P23" i="63"/>
  <c r="O23" i="63"/>
  <c r="S28" i="63"/>
  <c r="T28" i="63"/>
  <c r="T24" i="63" l="1"/>
  <c r="S27" i="63"/>
  <c r="R23" i="63"/>
  <c r="S23" i="63" s="1"/>
  <c r="S26" i="63"/>
  <c r="T25" i="63"/>
  <c r="P30" i="63"/>
  <c r="Q30" i="63"/>
  <c r="P29" i="65"/>
  <c r="P31" i="63"/>
  <c r="P34" i="63"/>
  <c r="O32" i="63"/>
  <c r="Q34" i="63"/>
  <c r="Q33" i="63"/>
  <c r="Q32" i="63"/>
  <c r="O31" i="63"/>
  <c r="Q31" i="63"/>
  <c r="P33" i="63"/>
  <c r="O33" i="63"/>
  <c r="O34" i="63"/>
  <c r="P32" i="63"/>
  <c r="O30" i="63"/>
  <c r="T23" i="63" l="1"/>
  <c r="R34" i="63"/>
  <c r="S34" i="63" s="1"/>
  <c r="Q29" i="63"/>
  <c r="P29" i="63"/>
  <c r="T34" i="63"/>
  <c r="R33" i="63"/>
  <c r="T33" i="63" s="1"/>
  <c r="R32" i="63"/>
  <c r="S32" i="63" s="1"/>
  <c r="R31" i="63"/>
  <c r="S31" i="63" s="1"/>
  <c r="O29" i="63"/>
  <c r="T32" i="63"/>
  <c r="R30" i="63"/>
  <c r="S33" i="63" l="1"/>
  <c r="T31" i="63"/>
  <c r="R29" i="63"/>
  <c r="T30" i="63"/>
  <c r="S30" i="63"/>
  <c r="T29" i="63" l="1"/>
  <c r="S29" i="63"/>
  <c r="P36" i="63"/>
  <c r="P35" i="65"/>
  <c r="P13" i="65" s="1"/>
  <c r="Q36" i="63"/>
  <c r="P39" i="63"/>
  <c r="Q38" i="63"/>
  <c r="P38" i="63"/>
  <c r="O38" i="63"/>
  <c r="Q37" i="63"/>
  <c r="P37" i="63"/>
  <c r="O37" i="63"/>
  <c r="Q39" i="63"/>
  <c r="O36" i="63"/>
  <c r="O39" i="63"/>
  <c r="R36" i="63" l="1"/>
  <c r="T36" i="63" s="1"/>
  <c r="R38" i="63"/>
  <c r="T38" i="63" s="1"/>
  <c r="Q35" i="63"/>
  <c r="Q13" i="63" s="1"/>
  <c r="P35" i="63"/>
  <c r="P13" i="63" s="1"/>
  <c r="R39" i="63"/>
  <c r="T39" i="63" s="1"/>
  <c r="R37" i="63"/>
  <c r="S37" i="63" s="1"/>
  <c r="O35" i="63"/>
  <c r="O13" i="63" s="1"/>
  <c r="S39" i="63" l="1"/>
  <c r="S36" i="63"/>
  <c r="S38" i="63"/>
  <c r="R35" i="63"/>
  <c r="T35" i="63" s="1"/>
  <c r="T13" i="63" s="1"/>
  <c r="T37" i="63"/>
  <c r="R13" i="63" l="1"/>
  <c r="E10" i="74" s="1"/>
  <c r="S35" i="63"/>
  <c r="B19" i="72" l="1"/>
  <c r="S13" i="63"/>
  <c r="E47" i="74"/>
  <c r="G10" i="74"/>
  <c r="F47" i="74" l="1"/>
  <c r="P52" i="65"/>
  <c r="P54" i="63"/>
  <c r="Q53" i="63"/>
  <c r="Q54" i="63"/>
  <c r="O54" i="63"/>
  <c r="O53" i="63"/>
  <c r="P53" i="63"/>
  <c r="Q52" i="63" l="1"/>
  <c r="R53" i="63"/>
  <c r="S53" i="63" s="1"/>
  <c r="O52" i="63"/>
  <c r="R54" i="63"/>
  <c r="T54" i="63" s="1"/>
  <c r="P52" i="63"/>
  <c r="S54" i="63" l="1"/>
  <c r="T53" i="63"/>
  <c r="R52" i="63"/>
  <c r="S52" i="63" s="1"/>
  <c r="G14" i="69"/>
  <c r="D12" i="69"/>
  <c r="D18" i="69"/>
  <c r="E16" i="69" s="1"/>
  <c r="T52" i="63" l="1"/>
  <c r="E12" i="69"/>
  <c r="E14" i="69"/>
  <c r="E18" i="69" s="1"/>
  <c r="G18" i="69"/>
  <c r="G12" i="69"/>
  <c r="P62" i="63"/>
  <c r="P58" i="63" s="1"/>
  <c r="P58" i="65"/>
  <c r="Q62" i="63"/>
  <c r="Q58" i="63" s="1"/>
  <c r="O62" i="63"/>
  <c r="O58" i="63" s="1"/>
  <c r="R62" i="63" l="1"/>
  <c r="P67" i="63"/>
  <c r="P66" i="65"/>
  <c r="Q67" i="63"/>
  <c r="P68" i="63"/>
  <c r="O68" i="63"/>
  <c r="Q68" i="63"/>
  <c r="O67" i="63"/>
  <c r="R67" i="63" l="1"/>
  <c r="T67" i="63" s="1"/>
  <c r="Q66" i="63"/>
  <c r="P66" i="63"/>
  <c r="R68" i="63"/>
  <c r="O66" i="63"/>
  <c r="S62" i="63"/>
  <c r="T62" i="63"/>
  <c r="R58" i="63"/>
  <c r="S67" i="63" l="1"/>
  <c r="R66" i="63"/>
  <c r="S66" i="63" s="1"/>
  <c r="T68" i="63"/>
  <c r="S68" i="63"/>
  <c r="T58" i="63"/>
  <c r="S58" i="63"/>
  <c r="P73" i="65"/>
  <c r="P41" i="65" s="1"/>
  <c r="P74" i="63"/>
  <c r="Q74" i="63"/>
  <c r="O75" i="63"/>
  <c r="P75" i="63"/>
  <c r="Q75" i="63"/>
  <c r="O74" i="63"/>
  <c r="T66" i="63" l="1"/>
  <c r="R74" i="63"/>
  <c r="R75" i="63"/>
  <c r="S75" i="63" s="1"/>
  <c r="Q73" i="63"/>
  <c r="Q41" i="63" s="1"/>
  <c r="P73" i="63"/>
  <c r="P41" i="63" s="1"/>
  <c r="O73" i="63"/>
  <c r="O41" i="63" s="1"/>
  <c r="T75" i="63" l="1"/>
  <c r="R73" i="63"/>
  <c r="S73" i="63" s="1"/>
  <c r="S74" i="63"/>
  <c r="T74" i="63"/>
  <c r="T73" i="63" l="1"/>
  <c r="R41" i="63"/>
  <c r="T41" i="63" s="1"/>
  <c r="S41" i="63" l="1"/>
  <c r="E62" i="74"/>
  <c r="F62" i="74" s="1"/>
  <c r="B20" i="72"/>
  <c r="E11" i="74"/>
  <c r="G11" i="74" s="1"/>
  <c r="E48" i="74" l="1"/>
  <c r="F48" i="74" s="1"/>
  <c r="P128" i="65"/>
  <c r="P117" i="65" s="1"/>
  <c r="P129" i="63"/>
  <c r="P128" i="63" s="1"/>
  <c r="P117" i="63" s="1"/>
  <c r="Q129" i="63"/>
  <c r="Q128" i="63" s="1"/>
  <c r="Q117" i="63" s="1"/>
  <c r="O129" i="63"/>
  <c r="O128" i="63" s="1"/>
  <c r="O117" i="63" s="1"/>
  <c r="R129" i="63" l="1"/>
  <c r="T129" i="63" l="1"/>
  <c r="S129" i="63"/>
  <c r="R128" i="63"/>
  <c r="R117" i="63" l="1"/>
  <c r="S128" i="63"/>
  <c r="T128" i="63"/>
  <c r="E67" i="74"/>
  <c r="F67" i="74" l="1"/>
  <c r="E65" i="74"/>
  <c r="F65" i="74" s="1"/>
  <c r="E13" i="74"/>
  <c r="B22" i="72"/>
  <c r="S117" i="63"/>
  <c r="T117" i="63"/>
  <c r="G13" i="74" l="1"/>
  <c r="E50" i="74"/>
  <c r="F50" i="74" l="1"/>
  <c r="P139" i="63"/>
  <c r="P138" i="63"/>
  <c r="O139" i="63"/>
  <c r="Q138" i="63"/>
  <c r="P137" i="65"/>
  <c r="P131" i="65" s="1"/>
  <c r="P155" i="65" s="1"/>
  <c r="Q139" i="63"/>
  <c r="N155" i="65"/>
  <c r="O155" i="65"/>
  <c r="O138" i="63"/>
  <c r="P137" i="63" l="1"/>
  <c r="P131" i="63" s="1"/>
  <c r="P155" i="63" s="1"/>
  <c r="R138" i="63"/>
  <c r="Q137" i="63"/>
  <c r="Q131" i="63" s="1"/>
  <c r="Q155" i="63" s="1"/>
  <c r="R139" i="63"/>
  <c r="S139" i="63" s="1"/>
  <c r="O137" i="63"/>
  <c r="O131" i="63" s="1"/>
  <c r="O155" i="63" s="1"/>
  <c r="T139" i="63" l="1"/>
  <c r="R137" i="63"/>
  <c r="R131" i="63" s="1"/>
  <c r="S138" i="63"/>
  <c r="T138" i="63"/>
  <c r="T137" i="63" l="1"/>
  <c r="T131" i="63" s="1"/>
  <c r="S137" i="63"/>
  <c r="R155" i="63"/>
  <c r="E63" i="74"/>
  <c r="B23" i="72"/>
  <c r="C18" i="72" s="1"/>
  <c r="C26" i="72" s="1"/>
  <c r="C30" i="72" s="1"/>
  <c r="S131" i="63"/>
  <c r="E14" i="74"/>
  <c r="G14" i="74" l="1"/>
  <c r="E51" i="74"/>
  <c r="E17" i="74"/>
  <c r="E61" i="74"/>
  <c r="F63" i="74"/>
  <c r="T155" i="63"/>
  <c r="S155" i="63"/>
  <c r="F61" i="74" l="1"/>
  <c r="E71" i="74"/>
  <c r="F71" i="74" s="1"/>
  <c r="F15" i="74"/>
  <c r="F11" i="74"/>
  <c r="F13" i="74"/>
  <c r="F10" i="74"/>
  <c r="F16" i="74"/>
  <c r="F12" i="74"/>
  <c r="G17" i="74"/>
  <c r="F14" i="74"/>
  <c r="E54" i="74"/>
  <c r="F54" i="74" s="1"/>
  <c r="F51" i="74"/>
  <c r="F17" i="74" l="1"/>
  <c r="O155" i="49"/>
  <c r="S97" i="49"/>
  <c r="Q89" i="49"/>
  <c r="F13" i="68" s="1"/>
  <c r="L13" i="68" l="1"/>
  <c r="F18" i="68"/>
  <c r="G13" i="68"/>
  <c r="S89" i="49"/>
  <c r="Q155" i="49"/>
  <c r="S155" i="49" l="1"/>
  <c r="F32" i="68"/>
  <c r="G18" i="68"/>
  <c r="M13" i="68"/>
  <c r="L18" i="68"/>
  <c r="F19" i="67"/>
  <c r="F23" i="67" l="1"/>
  <c r="F30" i="67" s="1"/>
  <c r="G19" i="67"/>
  <c r="G23" i="67" s="1"/>
  <c r="G30" i="67" s="1"/>
  <c r="G32" i="68"/>
  <c r="C19" i="68"/>
  <c r="M18" i="68"/>
  <c r="L32" i="68"/>
  <c r="I19" i="68"/>
  <c r="F19" i="68"/>
  <c r="I33" i="68" l="1"/>
  <c r="M32" i="68"/>
  <c r="C33" i="68"/>
  <c r="L19" i="68"/>
  <c r="F33" i="68"/>
  <c r="L33" i="68" l="1"/>
</calcChain>
</file>

<file path=xl/sharedStrings.xml><?xml version="1.0" encoding="utf-8"?>
<sst xmlns="http://schemas.openxmlformats.org/spreadsheetml/2006/main" count="1998" uniqueCount="566">
  <si>
    <t>CUADRO N° 1</t>
  </si>
  <si>
    <t>DETALLE DE INGRESOS</t>
  </si>
  <si>
    <t>Código</t>
  </si>
  <si>
    <t>Descripción</t>
  </si>
  <si>
    <t>PRESUPUESTO ORDINARIO</t>
  </si>
  <si>
    <t>PRESUPUESTO DEFINITIVO</t>
  </si>
  <si>
    <t>EJECUCIÓN REAL</t>
  </si>
  <si>
    <t>Diferencia</t>
  </si>
  <si>
    <t>Al trimestre anterior</t>
  </si>
  <si>
    <t>Total Acumulado</t>
  </si>
  <si>
    <t>% de Ing. Recibidos</t>
  </si>
  <si>
    <t>INGRESOS CORRIENTES</t>
  </si>
  <si>
    <t>1.3</t>
  </si>
  <si>
    <t>INGRESOS NO TRIBUTARIOS</t>
  </si>
  <si>
    <t>1.3.2</t>
  </si>
  <si>
    <t>Ingresos de la propiedad</t>
  </si>
  <si>
    <t>-</t>
  </si>
  <si>
    <t>1.3.2.3</t>
  </si>
  <si>
    <t>Renta de activos financieros</t>
  </si>
  <si>
    <t>1.3.3</t>
  </si>
  <si>
    <t>Multas y sanciones</t>
  </si>
  <si>
    <t>Sanciones administrativas</t>
  </si>
  <si>
    <t>1.3.9</t>
  </si>
  <si>
    <t>Otros ingresos no tributarios</t>
  </si>
  <si>
    <t>1.3.9.09</t>
  </si>
  <si>
    <t>1.4</t>
  </si>
  <si>
    <t>TRANSFERENCIAS CORRIENTES</t>
  </si>
  <si>
    <t>1.4.1</t>
  </si>
  <si>
    <t>Transferencias ctes. del Sector Púb.</t>
  </si>
  <si>
    <t>1.4.1.2</t>
  </si>
  <si>
    <t>Transf. ctes. de Órg. Desconcent.</t>
  </si>
  <si>
    <t xml:space="preserve">3 </t>
  </si>
  <si>
    <t>FINANCIAMIENTO</t>
  </si>
  <si>
    <t>3.3</t>
  </si>
  <si>
    <t>RECURSOS DE VIG. ANTERIORES</t>
  </si>
  <si>
    <t>3.3.1</t>
  </si>
  <si>
    <t xml:space="preserve">Superávit libre           </t>
  </si>
  <si>
    <t>TOTAL DE INGRESOS</t>
  </si>
  <si>
    <t>CUADRO N°2</t>
  </si>
  <si>
    <t>EJECUCIÓN DE EGRESOS</t>
  </si>
  <si>
    <t>PROGRAMA ACTIVIDADES CENTRALES</t>
  </si>
  <si>
    <t>CE</t>
  </si>
  <si>
    <t>Objeto del Gasto</t>
  </si>
  <si>
    <t>DESCRIPCIÓN</t>
  </si>
  <si>
    <t>Modificaciones</t>
  </si>
  <si>
    <t>EGRESOS EJECUTADOS</t>
  </si>
  <si>
    <t>POR EJECUTAR</t>
  </si>
  <si>
    <t>Porc. de Ejec.</t>
  </si>
  <si>
    <t>Acumulado</t>
  </si>
  <si>
    <t>Total</t>
  </si>
  <si>
    <t>1.1.1</t>
  </si>
  <si>
    <t>REMUNERACIONES</t>
  </si>
  <si>
    <t>1.1.1.1</t>
  </si>
  <si>
    <t>001</t>
  </si>
  <si>
    <t>Suplencias</t>
  </si>
  <si>
    <t>002</t>
  </si>
  <si>
    <t>Recargo de funciones</t>
  </si>
  <si>
    <t>Disponibilidad laboral</t>
  </si>
  <si>
    <t>Dietas</t>
  </si>
  <si>
    <t>003</t>
  </si>
  <si>
    <t>Retribución por años servidos</t>
  </si>
  <si>
    <t>1.1.1.2</t>
  </si>
  <si>
    <t>004</t>
  </si>
  <si>
    <t>005</t>
  </si>
  <si>
    <t>1.1.2</t>
  </si>
  <si>
    <t>1</t>
  </si>
  <si>
    <t>SERVICIOS</t>
  </si>
  <si>
    <t>Alquiler de edificios, locales y terrenos</t>
  </si>
  <si>
    <t>Otros alquileres</t>
  </si>
  <si>
    <t>Servicio de agua y alcantarillado</t>
  </si>
  <si>
    <t>Servicio de energía eléctrica</t>
  </si>
  <si>
    <t>Servicio de telecomunicaciones</t>
  </si>
  <si>
    <t>Otros servicios básicos</t>
  </si>
  <si>
    <t>Información</t>
  </si>
  <si>
    <t>Impresión, encuadernación y otros</t>
  </si>
  <si>
    <t>Transporte de bienes</t>
  </si>
  <si>
    <t>Servicios jurídicos</t>
  </si>
  <si>
    <t>Servicios de ingeniería y arquitectura</t>
  </si>
  <si>
    <t>Servicios generales</t>
  </si>
  <si>
    <t>Otros servicios de gestión y apoyo</t>
  </si>
  <si>
    <t>Transporte dentro del país</t>
  </si>
  <si>
    <t>Viáticos dentro del país</t>
  </si>
  <si>
    <t>Seguros</t>
  </si>
  <si>
    <t>Actividades de capacitación</t>
  </si>
  <si>
    <t>Actividades protocolarias y sociales</t>
  </si>
  <si>
    <t>1.3.1</t>
  </si>
  <si>
    <t>Otros impuestos</t>
  </si>
  <si>
    <t>Intereses moratorios y multas</t>
  </si>
  <si>
    <t>Deducibles</t>
  </si>
  <si>
    <t>Combustibles y lubricantes</t>
  </si>
  <si>
    <t>Tintas, pinturas y diluyentes</t>
  </si>
  <si>
    <t>Otros productos químicos y conexos</t>
  </si>
  <si>
    <t>Alimentos y bebidas</t>
  </si>
  <si>
    <t>Materiales y productos metálicos</t>
  </si>
  <si>
    <t>Madera y sus derivados</t>
  </si>
  <si>
    <t>Materiales y productos de vidrio</t>
  </si>
  <si>
    <t>Materiales y productos de plástico</t>
  </si>
  <si>
    <t>Herramientas e instrumentos</t>
  </si>
  <si>
    <t>Repuestos y accesorios</t>
  </si>
  <si>
    <t>Útiles y materiales de oficina y cómputo</t>
  </si>
  <si>
    <t>Productos de papel, cartón e impresos</t>
  </si>
  <si>
    <t>Textiles y vestuario</t>
  </si>
  <si>
    <t>Útiles y materiales de limpieza</t>
  </si>
  <si>
    <t>Útiles y materiales de cocina y comedor</t>
  </si>
  <si>
    <t>BIENES DURADEROS</t>
  </si>
  <si>
    <t>2.2.1</t>
  </si>
  <si>
    <t>Equipo de comunicación</t>
  </si>
  <si>
    <t>Equipo y mobiliario de oficina</t>
  </si>
  <si>
    <t>Maquinaria, equipo y mobiliario diverso</t>
  </si>
  <si>
    <t>2.1.1</t>
  </si>
  <si>
    <t>Edificios</t>
  </si>
  <si>
    <t>Terrenos</t>
  </si>
  <si>
    <t>2.2.4</t>
  </si>
  <si>
    <t>Bienes intangibles</t>
  </si>
  <si>
    <t>Ayudas a funcionarios</t>
  </si>
  <si>
    <t>Otras transferencias a personas</t>
  </si>
  <si>
    <t>Prestaciones legales</t>
  </si>
  <si>
    <t>Otras prestaciones</t>
  </si>
  <si>
    <t>Indemnizaciones</t>
  </si>
  <si>
    <t>2.3.2</t>
  </si>
  <si>
    <t>Transferencias de capital a personas</t>
  </si>
  <si>
    <t>CUENTAS ESPECIALES</t>
  </si>
  <si>
    <t>TOTAL GENERAL</t>
  </si>
  <si>
    <t>CUADRO N°3</t>
  </si>
  <si>
    <t>CUADRO N°4</t>
  </si>
  <si>
    <t>CUADRO N°5</t>
  </si>
  <si>
    <t>C O N S O L I D A D O    D E     E J E C U C I O N    D E    E G R E S O S</t>
  </si>
  <si>
    <t>RECURSOS EJECUTADOS</t>
  </si>
  <si>
    <t>RECURSOS POR EJECUTAR</t>
  </si>
  <si>
    <t>% de Ejec.</t>
  </si>
  <si>
    <t>TOTAL</t>
  </si>
  <si>
    <t>Sub total</t>
  </si>
  <si>
    <t>DETALLE DE ORIGEN Y APLICACIÓN DE RECURSOS</t>
  </si>
  <si>
    <t>INGRESOS SEGÚN EL CLASIFICADOR DE INGRESOS</t>
  </si>
  <si>
    <t>APLICACIÓN OBJETO DEL GASTO</t>
  </si>
  <si>
    <t>APLICACIÓN SEGÚN CLASIFICACIÓN ECONÓMICA</t>
  </si>
  <si>
    <t>Partida</t>
  </si>
  <si>
    <t>Monto</t>
  </si>
  <si>
    <t>Programa</t>
  </si>
  <si>
    <t>Corriente</t>
  </si>
  <si>
    <t>Capital</t>
  </si>
  <si>
    <t>Transacciones Financieras</t>
  </si>
  <si>
    <t>Sumas sin asignación</t>
  </si>
  <si>
    <t>Remuneraciones</t>
  </si>
  <si>
    <t>Recursos provenientes de FODESAF</t>
  </si>
  <si>
    <t>Servicios</t>
  </si>
  <si>
    <t>Materiales y suministros</t>
  </si>
  <si>
    <t>Bienes duraderos</t>
  </si>
  <si>
    <t>Transferencias corrientes</t>
  </si>
  <si>
    <t>Transferencias de capital</t>
  </si>
  <si>
    <t>Superávit libre - ejecutado</t>
  </si>
  <si>
    <t>Recursos de vigencias anteriores</t>
  </si>
  <si>
    <t xml:space="preserve"> </t>
  </si>
  <si>
    <t xml:space="preserve"> EJECUCIÓN DE EGRESOS  POR FUENTE DE FINANCIAMIENTO</t>
  </si>
  <si>
    <t>CONSOLIDADO</t>
  </si>
  <si>
    <t>% Ejec.</t>
  </si>
  <si>
    <t>Materiales y Suministros</t>
  </si>
  <si>
    <t>Bienes Duraderos</t>
  </si>
  <si>
    <t>Transferencias Corrientes</t>
  </si>
  <si>
    <t>Transferencias de Capital</t>
  </si>
  <si>
    <t>Cuentas Especiales</t>
  </si>
  <si>
    <t>Dist. entre programas</t>
  </si>
  <si>
    <t>RECURSOS DE SUPERÁVIT:</t>
  </si>
  <si>
    <t>INFORME DE LA SUBPARTIDA DE</t>
  </si>
  <si>
    <t>INFORMACION Y PUBLICIDAD Y PROPAGANDA</t>
  </si>
  <si>
    <t>CONCEPTO</t>
  </si>
  <si>
    <t xml:space="preserve">PRESUPUESTO  DEFINITIVO </t>
  </si>
  <si>
    <t>PAGOS AL SINART</t>
  </si>
  <si>
    <t>%</t>
  </si>
  <si>
    <t>Porcentaje</t>
  </si>
  <si>
    <t>TOTAL PRESUPUESTO</t>
  </si>
  <si>
    <t>Publicidad y propaganda</t>
  </si>
  <si>
    <t>P. ATENCIÓN A MUJERES EN SU DIVERSIDAD</t>
  </si>
  <si>
    <t>P. ACTIVIDADES CENTRALES</t>
  </si>
  <si>
    <t>P. Definitivo</t>
  </si>
  <si>
    <t>P. Ejecutado</t>
  </si>
  <si>
    <t>P. RECTORÍA DE  VIGILANCIA DE NORMATIVA Y POLÍTICAS P.</t>
  </si>
  <si>
    <t>2</t>
  </si>
  <si>
    <t>INGRESOS DE CAPITAL</t>
  </si>
  <si>
    <t>2.4.1</t>
  </si>
  <si>
    <t>TRANSFERENCIA DE CAPITAL</t>
  </si>
  <si>
    <t>Tranf. de capital de órg. Desconc.</t>
  </si>
  <si>
    <t>PROGRAMA RECTORÍA DE VIGILANCIA DE NORMATIVA Y POLÍTICAS PÚBLICAS</t>
  </si>
  <si>
    <t>Multas, sanciones, remates y confiscaciones</t>
  </si>
  <si>
    <t>Recursos provenientes de sanciones administrativas cobradas a uno de los proveedores de la institución</t>
  </si>
  <si>
    <t>Recursos provenientes de remanentes de transferencias giradas en periodos anteriores y recuperación de cuentas por cobrar</t>
  </si>
  <si>
    <t>PROGRAMA ATENCIÓN A MUJERES EN SU DIVERSIDAD</t>
  </si>
  <si>
    <r>
      <rPr>
        <b/>
        <i/>
        <sz val="11"/>
        <rFont val="Calibri"/>
        <family val="2"/>
        <scheme val="minor"/>
      </rPr>
      <t xml:space="preserve">1. </t>
    </r>
    <r>
      <rPr>
        <i/>
        <sz val="11"/>
        <rFont val="Calibri"/>
        <family val="2"/>
        <scheme val="minor"/>
      </rPr>
      <t>Incluye el superávit ejecutado a esta fecha.</t>
    </r>
  </si>
  <si>
    <t>1.4.1.1</t>
  </si>
  <si>
    <t>Transf. ctes. del Gobierno Central</t>
  </si>
  <si>
    <t>LIQUIDACION PRESUPUESTARIA</t>
  </si>
  <si>
    <t>PERIODO</t>
  </si>
  <si>
    <t>OFICIO ENVIO A CGR</t>
  </si>
  <si>
    <t>INGRESOS</t>
  </si>
  <si>
    <t>GASTOS</t>
  </si>
  <si>
    <t>SUPERAVIT/DEFICIT DEL PERIODO</t>
  </si>
  <si>
    <t>Transferencias corrientes del  S. P. - FODESAF</t>
  </si>
  <si>
    <t>Recursos de Períodos  Ant. -  Superávit Libre</t>
  </si>
  <si>
    <t>DETALLE DE MODIFICACIONES PRESUPUESTARIAS</t>
  </si>
  <si>
    <t>Documento</t>
  </si>
  <si>
    <t>Fecha</t>
  </si>
  <si>
    <t>Aprobación J. D. / C.G.R.</t>
  </si>
  <si>
    <t>PRESUPUESTOS EXTRAORDINARIOS</t>
  </si>
  <si>
    <t>MODIFICACIONES PRESUPUESTARIAS</t>
  </si>
  <si>
    <t>INSTITUCIONES CON LAS QUE TIENE RESPONSABILIDAD EL INAMU A NIVEL DE PRESUPUESTO</t>
  </si>
  <si>
    <t>COG</t>
  </si>
  <si>
    <t>Subpartida presupuestaria</t>
  </si>
  <si>
    <t>Institución</t>
  </si>
  <si>
    <t>6-01-02</t>
  </si>
  <si>
    <t>Comisión Nacional de Emergencia</t>
  </si>
  <si>
    <t>6-07-01</t>
  </si>
  <si>
    <t>Transf. Corrientes a órganos desconcentrados</t>
  </si>
  <si>
    <t>Transferencias corrientes a Organismos Internacionales</t>
  </si>
  <si>
    <t>Ministerio de Hacienda.
Consejo de Ministras.
ONU Mujeres</t>
  </si>
  <si>
    <t>Monto Ppdo.</t>
  </si>
  <si>
    <r>
      <rPr>
        <b/>
        <sz val="10"/>
        <rFont val="Calibri"/>
        <family val="2"/>
      </rPr>
      <t>Nota</t>
    </r>
    <r>
      <rPr>
        <sz val="10"/>
        <rFont val="Calibri"/>
        <family val="2"/>
      </rPr>
      <t>:  Se incluye únicamente transferencias al Sectór Público.</t>
    </r>
  </si>
  <si>
    <t>Transferencias  de capital del S. P. - FODESAF</t>
  </si>
  <si>
    <t>Transferencias corrientes de Órganos Desconcentrados</t>
  </si>
  <si>
    <t>Tranf. Cte. De Gobierno Central</t>
  </si>
  <si>
    <t>Recursos provenientes del MINAE</t>
  </si>
  <si>
    <t>CUADRO N°6</t>
  </si>
  <si>
    <t xml:space="preserve"> CUADRO N°7</t>
  </si>
  <si>
    <t>CUADRO N°8</t>
  </si>
  <si>
    <t xml:space="preserve"> CUADRO N°9</t>
  </si>
  <si>
    <t>CUADRO N°10</t>
  </si>
  <si>
    <t>Transf. de Capital - de órganos desconcentrados</t>
  </si>
  <si>
    <t>CUADRO N°11</t>
  </si>
  <si>
    <t>PRESUPUESTO DEL EJERCICIO ECONÓMICO 2025</t>
  </si>
  <si>
    <t>PRESUPUESTO DEL EJERCICIO ECONOMICO 2025</t>
  </si>
  <si>
    <t>PRESUPUESTO
 ORDINARIO</t>
  </si>
  <si>
    <t>PRESUPUESTO
 DEFINITIVO</t>
  </si>
  <si>
    <t>PRESUPUESTO
DEFINITIVO</t>
  </si>
  <si>
    <t>1.4.1.01</t>
  </si>
  <si>
    <t>1.4.1.02</t>
  </si>
  <si>
    <t>2.4.1.02</t>
  </si>
  <si>
    <t>1.3.3.01</t>
  </si>
  <si>
    <t>Fuente:  Departamento Financiero Contable - Presupuesto.</t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</si>
  <si>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 Departamento Financiero Contable - Presupuesto.</t>
    </r>
  </si>
  <si>
    <t>·      Devoluciones de recursos de Fomujer</t>
  </si>
  <si>
    <t>·      Otros ingresos</t>
  </si>
  <si>
    <t>·      Total</t>
  </si>
  <si>
    <t>Superávit incorporado, disponible</t>
  </si>
  <si>
    <t>1.3.3.01.04</t>
  </si>
  <si>
    <t>PARTIDA</t>
  </si>
  <si>
    <t>% Ejec. por partida</t>
  </si>
  <si>
    <t>Peso</t>
  </si>
  <si>
    <t>Fuente</t>
  </si>
  <si>
    <t>Ingresos Presupuestados</t>
  </si>
  <si>
    <t>Ingresos Recibidos</t>
  </si>
  <si>
    <t>% Ing. Recibidos</t>
  </si>
  <si>
    <t>Fodesaf</t>
  </si>
  <si>
    <t>Superávit</t>
  </si>
  <si>
    <t xml:space="preserve">Otros </t>
  </si>
  <si>
    <t>Ingresos no tributarios</t>
  </si>
  <si>
    <t>PARA INCORPORAR EN EL ACUERDO DE LA J.D.</t>
  </si>
  <si>
    <t>CUADRO RESUMEN SEGÚN CLASIFICADOR POR OBJETO DEL GASTO</t>
  </si>
  <si>
    <t>Ppto. Definitivo</t>
  </si>
  <si>
    <t>Ppto. Ejecutado</t>
  </si>
  <si>
    <t xml:space="preserve">CUADRO RESUMEN SEGUN EL CLASIFICADOR ECONOMICO </t>
  </si>
  <si>
    <t>GASTOS CORRIENTES</t>
  </si>
  <si>
    <t>GASTOS DE CAPITAL</t>
  </si>
  <si>
    <t>Gastos de Consumo</t>
  </si>
  <si>
    <t>Formación de Capital</t>
  </si>
  <si>
    <t>Adquisición de Activos</t>
  </si>
  <si>
    <t>Notas:</t>
  </si>
  <si>
    <t>Ppto. Ext. 01</t>
  </si>
  <si>
    <t>Mod. 01</t>
  </si>
  <si>
    <t>Mod. 02</t>
  </si>
  <si>
    <t>Mod. 03</t>
  </si>
  <si>
    <t>Mod. 04</t>
  </si>
  <si>
    <r>
      <t xml:space="preserve">1 </t>
    </r>
    <r>
      <rPr>
        <b/>
        <i/>
        <sz val="10"/>
        <rFont val="Calibri"/>
        <family val="2"/>
      </rPr>
      <t xml:space="preserve">- </t>
    </r>
    <r>
      <rPr>
        <i/>
        <sz val="10"/>
        <rFont val="Calibri"/>
        <family val="2"/>
      </rPr>
      <t xml:space="preserve">Según el comunicado de la Contraloría General de la República, en la fila de los recursos de superávit libre, en la calumna de Ejecución Real, debe incluirse el superávit ejecutado. </t>
    </r>
  </si>
  <si>
    <t>Departamento Financiero Contable - Presupuesto.</t>
  </si>
  <si>
    <t>Fuente:</t>
  </si>
  <si>
    <t>Mod. 05</t>
  </si>
  <si>
    <r>
      <rPr>
        <b/>
        <sz val="10"/>
        <rFont val="Calibri"/>
        <family val="2"/>
        <scheme val="minor"/>
      </rPr>
      <t xml:space="preserve">Fuente: </t>
    </r>
    <r>
      <rPr>
        <sz val="10"/>
        <rFont val="Calibri"/>
        <family val="2"/>
        <scheme val="minor"/>
      </rPr>
      <t xml:space="preserve"> Departamento Financiero Contable - Presupuesto.</t>
    </r>
  </si>
  <si>
    <t>RECURSOS ORDINARIOS DE FODESAF:</t>
  </si>
  <si>
    <t>PRESUPUESTO DEL EJERCICIO ECONÓMICO 2026</t>
  </si>
  <si>
    <t>Presupuesto Extraordianrio No.01-2026</t>
  </si>
  <si>
    <t>0</t>
  </si>
  <si>
    <t>REMUNERACIONES BÁSICAS</t>
  </si>
  <si>
    <t>000101</t>
  </si>
  <si>
    <t>Sueldos para cargos fijos</t>
  </si>
  <si>
    <t>000103</t>
  </si>
  <si>
    <t>Servicios especiales</t>
  </si>
  <si>
    <t>000105</t>
  </si>
  <si>
    <t>REMUNERACIONES EVENTUALES</t>
  </si>
  <si>
    <t>000201</t>
  </si>
  <si>
    <t>Tiempo extraordinario</t>
  </si>
  <si>
    <t>000202</t>
  </si>
  <si>
    <t>000203</t>
  </si>
  <si>
    <t>000205</t>
  </si>
  <si>
    <t>INCENTIVOS SALARIALES</t>
  </si>
  <si>
    <t>000301</t>
  </si>
  <si>
    <t>000302</t>
  </si>
  <si>
    <t>Restricción al ejercicio liberal de la profesión</t>
  </si>
  <si>
    <t>000303</t>
  </si>
  <si>
    <t>Decimotercer mes</t>
  </si>
  <si>
    <t>000304</t>
  </si>
  <si>
    <t>Salario escolar</t>
  </si>
  <si>
    <t>000399</t>
  </si>
  <si>
    <t>Otros incentivos salariales</t>
  </si>
  <si>
    <t>000401</t>
  </si>
  <si>
    <t>000402</t>
  </si>
  <si>
    <t>000403</t>
  </si>
  <si>
    <t>000404</t>
  </si>
  <si>
    <t>000405</t>
  </si>
  <si>
    <t>000501</t>
  </si>
  <si>
    <t>000502</t>
  </si>
  <si>
    <t>000503</t>
  </si>
  <si>
    <t>Aporte Pat. al Fondo de Capitalización Laboral</t>
  </si>
  <si>
    <t>000505</t>
  </si>
  <si>
    <t>0101</t>
  </si>
  <si>
    <t>ALQUILERES</t>
  </si>
  <si>
    <t>010101</t>
  </si>
  <si>
    <t>010102</t>
  </si>
  <si>
    <t>Alquiler de maquinaria, equipo y mobiliario</t>
  </si>
  <si>
    <t>010104</t>
  </si>
  <si>
    <t>Alquiler y derechos para telecomunicaciones</t>
  </si>
  <si>
    <t>010199</t>
  </si>
  <si>
    <t>0102</t>
  </si>
  <si>
    <t>SERVICIOS BÁSICOS</t>
  </si>
  <si>
    <t>010201</t>
  </si>
  <si>
    <t>010202</t>
  </si>
  <si>
    <t>010204</t>
  </si>
  <si>
    <t>010299</t>
  </si>
  <si>
    <t>0103</t>
  </si>
  <si>
    <t xml:space="preserve"> SERVICIOS COMERCIALES Y FINANCIEROS</t>
  </si>
  <si>
    <t>010301</t>
  </si>
  <si>
    <t>010303</t>
  </si>
  <si>
    <t>010304</t>
  </si>
  <si>
    <t>010306</t>
  </si>
  <si>
    <t>010307</t>
  </si>
  <si>
    <t>0104</t>
  </si>
  <si>
    <t>SERVICIOS DE GESTIÓN Y APOYO</t>
  </si>
  <si>
    <t>010401</t>
  </si>
  <si>
    <t>Servicios  médicos y de laboratorio</t>
  </si>
  <si>
    <t>010402</t>
  </si>
  <si>
    <t>010403</t>
  </si>
  <si>
    <t>010404</t>
  </si>
  <si>
    <t>Servicios en ciencias económicas y sociales</t>
  </si>
  <si>
    <t>010405</t>
  </si>
  <si>
    <t>Servicios de desarrollo de sistemas informáticos</t>
  </si>
  <si>
    <t>010406</t>
  </si>
  <si>
    <t>010499</t>
  </si>
  <si>
    <t>0105</t>
  </si>
  <si>
    <t>GASTOS DE VIAJE Y DE TRANSPORTE</t>
  </si>
  <si>
    <t>010501</t>
  </si>
  <si>
    <t>010502</t>
  </si>
  <si>
    <t>010503</t>
  </si>
  <si>
    <t>Transporte en el exterior</t>
  </si>
  <si>
    <t>010504</t>
  </si>
  <si>
    <t>Viáticos en el exterior</t>
  </si>
  <si>
    <t>0106</t>
  </si>
  <si>
    <t>010601</t>
  </si>
  <si>
    <t>0107</t>
  </si>
  <si>
    <t>CAPACITACIÓN Y PROTOCOLO</t>
  </si>
  <si>
    <t>010701</t>
  </si>
  <si>
    <t>010702</t>
  </si>
  <si>
    <t>010703</t>
  </si>
  <si>
    <t>Gastos de representación institucional</t>
  </si>
  <si>
    <t>0108</t>
  </si>
  <si>
    <t>MANTENIMIENTO Y REPARACIÓN</t>
  </si>
  <si>
    <t>010801</t>
  </si>
  <si>
    <t>010805</t>
  </si>
  <si>
    <t>010807</t>
  </si>
  <si>
    <t>010808</t>
  </si>
  <si>
    <t>010899</t>
  </si>
  <si>
    <t>0109</t>
  </si>
  <si>
    <t>IMPUESTOS</t>
  </si>
  <si>
    <t>010999</t>
  </si>
  <si>
    <t>0199</t>
  </si>
  <si>
    <t>SERVICIOS DIVERSOS</t>
  </si>
  <si>
    <t>019902</t>
  </si>
  <si>
    <t>019905</t>
  </si>
  <si>
    <t>02</t>
  </si>
  <si>
    <t>MATERIALES YSUMINISTROS</t>
  </si>
  <si>
    <t>0201</t>
  </si>
  <si>
    <t>PRODUCTOS QUÍMICOS Y CONEXOS</t>
  </si>
  <si>
    <t>020101</t>
  </si>
  <si>
    <t>020102</t>
  </si>
  <si>
    <t>Productos farmacéuticos y medicinales</t>
  </si>
  <si>
    <t>020104</t>
  </si>
  <si>
    <t>020199</t>
  </si>
  <si>
    <t>0202</t>
  </si>
  <si>
    <t>ALIMENTOS Y PRODUCTOS AGROPECUARIOS</t>
  </si>
  <si>
    <t>020203</t>
  </si>
  <si>
    <t>0203</t>
  </si>
  <si>
    <t>020301</t>
  </si>
  <si>
    <t>020303</t>
  </si>
  <si>
    <t>020304</t>
  </si>
  <si>
    <t>020305</t>
  </si>
  <si>
    <t>020306</t>
  </si>
  <si>
    <t>020399</t>
  </si>
  <si>
    <t>0204</t>
  </si>
  <si>
    <t>HERRAMIENTAS, REPUESTOS Y ACCESORIOS</t>
  </si>
  <si>
    <t>020401</t>
  </si>
  <si>
    <t>020402</t>
  </si>
  <si>
    <t>029901</t>
  </si>
  <si>
    <t>029902</t>
  </si>
  <si>
    <t>029903</t>
  </si>
  <si>
    <t>029904</t>
  </si>
  <si>
    <t>029905</t>
  </si>
  <si>
    <t>029906</t>
  </si>
  <si>
    <t>Útiles y materiales de resguardo y seguridad</t>
  </si>
  <si>
    <t>029907</t>
  </si>
  <si>
    <t>029999</t>
  </si>
  <si>
    <t>05</t>
  </si>
  <si>
    <t>0501</t>
  </si>
  <si>
    <t>MAQUINARIA, EQUIPO Y MOBILIARIO</t>
  </si>
  <si>
    <t>050103</t>
  </si>
  <si>
    <t>050104</t>
  </si>
  <si>
    <t>050105</t>
  </si>
  <si>
    <t>Equipo y programas de cómputo</t>
  </si>
  <si>
    <t>050106</t>
  </si>
  <si>
    <t>050199</t>
  </si>
  <si>
    <t>0502</t>
  </si>
  <si>
    <t>CONSTRUCCIONES, ADICIONES Y MEJORAS</t>
  </si>
  <si>
    <t>050201</t>
  </si>
  <si>
    <t>0503</t>
  </si>
  <si>
    <t>BIENES PREEXISTENTES</t>
  </si>
  <si>
    <t>050301</t>
  </si>
  <si>
    <t>0599</t>
  </si>
  <si>
    <t>BIENES DURADEROS DIVERSOS</t>
  </si>
  <si>
    <t>059903</t>
  </si>
  <si>
    <t>06</t>
  </si>
  <si>
    <t>0601</t>
  </si>
  <si>
    <t>060102</t>
  </si>
  <si>
    <t>0602</t>
  </si>
  <si>
    <t xml:space="preserve"> TRANSFERENCIAS CORRIENTES A PERSONAS</t>
  </si>
  <si>
    <t>060203</t>
  </si>
  <si>
    <t>060299</t>
  </si>
  <si>
    <t>0603</t>
  </si>
  <si>
    <t>PRESTACIONES</t>
  </si>
  <si>
    <t>060301</t>
  </si>
  <si>
    <t>060399</t>
  </si>
  <si>
    <t>0606</t>
  </si>
  <si>
    <t>060601</t>
  </si>
  <si>
    <t>0607</t>
  </si>
  <si>
    <t>060701</t>
  </si>
  <si>
    <t>07</t>
  </si>
  <si>
    <t xml:space="preserve"> TRANSFERENCIAS DE CAPITAL </t>
  </si>
  <si>
    <t>0702</t>
  </si>
  <si>
    <t>TRANSFERENCIAS DE CAPITAL A PERSONAS</t>
  </si>
  <si>
    <t>070201</t>
  </si>
  <si>
    <t>09</t>
  </si>
  <si>
    <t>SUMAS SIN ASIGNACIÓN PRESUPUESTARIA</t>
  </si>
  <si>
    <t>090201</t>
  </si>
  <si>
    <t>Sumas libres sin asignación presupuestaria</t>
  </si>
  <si>
    <t>2.2.2</t>
  </si>
  <si>
    <t>4.1.1</t>
  </si>
  <si>
    <t>2.33</t>
  </si>
  <si>
    <t>PRESUPUESTO DEL EJERCICIO ECONOMICO 2026</t>
  </si>
  <si>
    <t>Superávit del 2025, pendiente de incorporar</t>
  </si>
  <si>
    <t xml:space="preserve"> PRESUPUESTO DEL EJERCICIO ECONÓMICO 2026</t>
  </si>
  <si>
    <t>PRESUPUESTO EJERCICIO ECONÓMICO 2026</t>
  </si>
  <si>
    <t>Modificación No. 01-2026</t>
  </si>
  <si>
    <t>Acuerdo No. 3 de la sesión ordinario No.01-2026 - Celebrada el 20 de enero del 2026</t>
  </si>
  <si>
    <t>0604</t>
  </si>
  <si>
    <t>TRANF. CORRIENTES A ENTIDADES SIN FINES DE L.</t>
  </si>
  <si>
    <t>060401</t>
  </si>
  <si>
    <t>Transferencias corrientes a asociaciones</t>
  </si>
  <si>
    <t>Servicios de desarrollo de sist. informáticos</t>
  </si>
  <si>
    <t>Comisiones y gastos por servicios fin. y com.</t>
  </si>
  <si>
    <t>Servicios de transferencia electrónica de inf.</t>
  </si>
  <si>
    <t>Contrib. Pat. al Seg. de Pens. de la C. C. de S. S.</t>
  </si>
  <si>
    <t>Aporte Pat. al Rég. Obligatorio de P. Complem.</t>
  </si>
  <si>
    <t>SEGUROS, REASEG. Y OTRAS OBLIGACIONES</t>
  </si>
  <si>
    <t>Mant. de edificios, locales y terrenos</t>
  </si>
  <si>
    <t>Mant. y rep. de otros equipos</t>
  </si>
  <si>
    <t>Mant. y rep. de eq. y mobiliario de oficina</t>
  </si>
  <si>
    <t>Mant. y rep. de eq. de transporte</t>
  </si>
  <si>
    <t>Mant. y rep. de eq. de cómputo y sist. de inf.</t>
  </si>
  <si>
    <t>Materiales y prod. Eléc., telef. y de cómputo</t>
  </si>
  <si>
    <t>Otros materiales y prod. de uso en la C. y M.</t>
  </si>
  <si>
    <t>ÚTILES, MATERIALES Y SUMIN. DIVERSOS</t>
  </si>
  <si>
    <t>ALIMENTOS Y PROD. AGROPECUARIOS</t>
  </si>
  <si>
    <t>MATERIALES Y P. DE USO EN LA C. Y  M.</t>
  </si>
  <si>
    <t>HERRAMIENTAS, REP. Y ACCESORIOS</t>
  </si>
  <si>
    <t>Útiles y materiales médico, hosp. y de invest.</t>
  </si>
  <si>
    <t>Otros útiles, materiales y suministros div.</t>
  </si>
  <si>
    <t>Equipo sanitario, de lab. e investigación</t>
  </si>
  <si>
    <t>TRANSFERENCIAS CTES. AL SECTOR PÚBLICO</t>
  </si>
  <si>
    <t>Transferencias Ctes.  a Órg. Desconcentrados</t>
  </si>
  <si>
    <t>TRANF. CORRIENTES A ENT. SIN FINES DE L.</t>
  </si>
  <si>
    <t>OTRAS TRANSFERENCIAS CTES. AL S. PRIVADO</t>
  </si>
  <si>
    <t>TRANSFERENCIAS CTES. AL SECTOR PRIVADO</t>
  </si>
  <si>
    <t>Transferencias ctes. a org. internacionales</t>
  </si>
  <si>
    <t>CONT. PAT. A FON. DE PEN. Y O. F. DE CAP.</t>
  </si>
  <si>
    <t>Contrib. Pat. al Banco Pop. y Des. Comunal</t>
  </si>
  <si>
    <t>Contrib. Pat. a otros fondos ad. por entes priv.</t>
  </si>
  <si>
    <t>Contrib. Pat. al F. de Desarrollo S. y Asig. F.</t>
  </si>
  <si>
    <t>Contrib. Pat. al Instituto Nac. de Aprendizaje</t>
  </si>
  <si>
    <t>Contrib. Pat. al Inst. Mixto de Ayuda Social</t>
  </si>
  <si>
    <t>Contrib. Pat. al Seguro de S. de la C.C. de S. S.</t>
  </si>
  <si>
    <t>CONTRIBUCIONES PAT. AL DES. Y LA S. S.</t>
  </si>
  <si>
    <t>SERVICIOS COMERCIALES Y FINANCIEROS</t>
  </si>
  <si>
    <t>Materiales y productos eléc., telef. y de cómputo</t>
  </si>
  <si>
    <t>MATERIALES Y PROD. DE USO EN LA C.Y M.</t>
  </si>
  <si>
    <t>Transferencias corrientes a org. internacionales</t>
  </si>
  <si>
    <t>Al trim. Ant.</t>
  </si>
  <si>
    <t>Al trim. anterior</t>
  </si>
  <si>
    <t>PRESUPUESTO EJERCICIO ECONOMICO 2026</t>
  </si>
  <si>
    <t>02-2026</t>
  </si>
  <si>
    <t>Acuerdo No. 5 de la sesión ordinario No.07-2026 - Celebrada el 03 de marzo del 2026</t>
  </si>
  <si>
    <t>1.1</t>
  </si>
  <si>
    <t>2.1</t>
  </si>
  <si>
    <t>2.3</t>
  </si>
  <si>
    <t>2.2</t>
  </si>
  <si>
    <t>SUMAS SIN ASIGNACIÓN</t>
  </si>
  <si>
    <t xml:space="preserve">Abril </t>
  </si>
  <si>
    <t>Mayo</t>
  </si>
  <si>
    <t>Junio</t>
  </si>
  <si>
    <t>Abril</t>
  </si>
  <si>
    <t>AL 30 DE JUNIO DEL 2026</t>
  </si>
  <si>
    <t>Contrib. Pat. al IMAS</t>
  </si>
  <si>
    <t>Contrib. Pat. al Seguro - C.C.S.S.</t>
  </si>
  <si>
    <t>CONTRIB. PAT. AL DES. Y LA S. S.</t>
  </si>
  <si>
    <t>Contrib. Pat. al INA</t>
  </si>
  <si>
    <t>Contrib. Pat. al FODESAF</t>
  </si>
  <si>
    <t>Contrib. Pat. al B.P.D.C.</t>
  </si>
  <si>
    <t>CONT. PAT. A F. DE P. Y O. F. DE C.</t>
  </si>
  <si>
    <t>Contrib. Pat. al Seg. de P. - C.C.S.S.</t>
  </si>
  <si>
    <t>Aporte Pat. al Rég. O. de P. Complem.</t>
  </si>
  <si>
    <t>Aporte Pat. al Fondo de Cap. Laboral</t>
  </si>
  <si>
    <t>Restricción al ejer. lib. de la profesión</t>
  </si>
  <si>
    <t>Contrib. P. a otros fondos ad. por  E.P.</t>
  </si>
  <si>
    <t xml:space="preserve"> SERVICIOS COMERC. Y FINANCIEROS</t>
  </si>
  <si>
    <t>Comisiones y gastos por serv. fin. y com.</t>
  </si>
  <si>
    <t>Servicios de transf. electrónica de inf.</t>
  </si>
  <si>
    <t>Servicios en ciencias econ. y sociales</t>
  </si>
  <si>
    <t>Servicios de des. de sist. informáticos</t>
  </si>
  <si>
    <t>SEGUROS, R.. Y OTRAS OBLIGACIONES</t>
  </si>
  <si>
    <t>Mant. y rep. de eq. y mob. de oficina</t>
  </si>
  <si>
    <t>Mant. y rep. de eq. de cómputo y S. I.</t>
  </si>
  <si>
    <t>ALIMENTOS Y PRODUCTOS AGROPEC.</t>
  </si>
  <si>
    <t>Materiales y prod. eléc., tel. y cómputo</t>
  </si>
  <si>
    <t>Otros mat. y prod. de uso en la C. y M.</t>
  </si>
  <si>
    <t>Útiles y mat. médico, hosp. y de invest.</t>
  </si>
  <si>
    <t>Útiles y mat. de resguardo y seguridad</t>
  </si>
  <si>
    <t>Útiles y mat. de oficina y cómputo</t>
  </si>
  <si>
    <t>Útiles y mat. de cocina y comedor</t>
  </si>
  <si>
    <t>Útiles y mat. de limpieza</t>
  </si>
  <si>
    <t>Otros útiles, mat. y suministros div.</t>
  </si>
  <si>
    <t>Equipo sanitario,  lab. e investigación</t>
  </si>
  <si>
    <t>Maquinaria, equipo y mob. diverso</t>
  </si>
  <si>
    <t>CONSTRUCCIONES, ADIC. Y MEJORAS</t>
  </si>
  <si>
    <t>TRANSF. CTES. AL SECTOR PÚBLICO</t>
  </si>
  <si>
    <t>Transf. Ctes.  a Órg. Desconcentrados</t>
  </si>
  <si>
    <t>TRANSF. CORRIENTES A PERSONAS</t>
  </si>
  <si>
    <t>TRANF. CTES.  A ENT. SIN FINES DE L.</t>
  </si>
  <si>
    <t>Transf. corrientes a asociaciones</t>
  </si>
  <si>
    <t>OTRAS TRANSF. CTES. AL S. PRIVADO</t>
  </si>
  <si>
    <t>TRANSF. CTES. AL SECTOR PRIVADO</t>
  </si>
  <si>
    <t>Transf. ctes. a org. internacionales</t>
  </si>
  <si>
    <t>TRANSF. DE CAPITAL A PERSONAS</t>
  </si>
  <si>
    <t>SUMAS SIN ASIG. PRESUPUESTARIA</t>
  </si>
  <si>
    <t>Sumas libres sin asig. presupuestaria</t>
  </si>
  <si>
    <t>ÚTILES, MATERIALES Y SUM. DIVERSOS</t>
  </si>
  <si>
    <t>Multas, sanciones, remates y c.</t>
  </si>
  <si>
    <t>SUPERÁVIT ACUMULADO AL 30 DE JUNIO 2026</t>
  </si>
  <si>
    <t>·      Asociación Nicoyana</t>
  </si>
  <si>
    <t>·     Devolución de Giros</t>
  </si>
  <si>
    <t>·      Reintegros de la CCSS</t>
  </si>
  <si>
    <t>·      Cobro por colición</t>
  </si>
  <si>
    <t>INFORME DE EJECUCIÓN PRESUPUESTARIA AL 30 DE JUNIO DEL 2026</t>
  </si>
  <si>
    <t>CONSOLIDADO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</si>
</sst>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0.0%"/>
    <numFmt numFmtId="166" formatCode="_ * #,##0_ ;_ * \-#,##0_ ;_ * &quot;-&quot;??_ ;_ @_ "/>
    <numFmt numFmtId="167" formatCode="&quot;₡&quot;#,##0.00"/>
    <numFmt numFmtId="168" formatCode="#,##0.0"/>
  </numFmts>
  <fonts count="82" x14ac:knownFonts="1">
    <font>
      <sz val="8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8"/>
      <name val="Tahoma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9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ahoma"/>
      <family val="2"/>
    </font>
    <font>
      <sz val="8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8"/>
      <name val="Verdana"/>
      <family val="2"/>
    </font>
    <font>
      <i/>
      <sz val="9"/>
      <name val="Verdana"/>
      <family val="2"/>
    </font>
    <font>
      <i/>
      <sz val="10"/>
      <name val="Verdana"/>
      <family val="2"/>
    </font>
    <font>
      <sz val="12"/>
      <name val="Verdana"/>
      <family val="2"/>
    </font>
    <font>
      <i/>
      <sz val="1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</font>
    <font>
      <b/>
      <i/>
      <sz val="10"/>
      <name val="Calibri"/>
      <family val="2"/>
    </font>
    <font>
      <sz val="10"/>
      <color theme="1"/>
      <name val="Courier New"/>
      <family val="3"/>
    </font>
    <font>
      <i/>
      <sz val="9"/>
      <name val="Calibri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</font>
    <font>
      <b/>
      <sz val="11"/>
      <color rgb="FF000000"/>
      <name val="Arial"/>
      <family val="2"/>
    </font>
    <font>
      <b/>
      <sz val="14"/>
      <name val="Verdana"/>
      <family val="2"/>
    </font>
    <font>
      <b/>
      <sz val="14"/>
      <color rgb="FFFF0000"/>
      <name val="Calibri"/>
      <family val="2"/>
      <scheme val="minor"/>
    </font>
    <font>
      <b/>
      <sz val="8"/>
      <name val="Tahom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Times New Roman"/>
      <family val="1"/>
    </font>
    <font>
      <b/>
      <sz val="18"/>
      <color rgb="FFFF0000"/>
      <name val="Verdana"/>
      <family val="2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Tahoma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11"/>
      <color rgb="FFFF0000"/>
      <name val="Tahoma"/>
      <family val="2"/>
    </font>
    <font>
      <b/>
      <sz val="10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Tahoma"/>
      <family val="2"/>
    </font>
    <font>
      <sz val="6"/>
      <name val="Calibri"/>
      <family val="2"/>
      <scheme val="minor"/>
    </font>
    <font>
      <b/>
      <sz val="6"/>
      <name val="Calibri"/>
      <family val="2"/>
      <scheme val="minor"/>
    </font>
    <font>
      <sz val="6"/>
      <name val="Arial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  <font>
      <sz val="6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rgb="FFED0000"/>
      <name val="Times New Roman"/>
      <family val="1"/>
    </font>
    <font>
      <sz val="7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F5F4F2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rgb="FFF5F4F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5F4F2"/>
      </patternFill>
    </fill>
    <fill>
      <patternFill patternType="solid">
        <fgColor theme="6" tint="0.79998168889431442"/>
        <bgColor rgb="FF000000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hair">
        <color indexed="64"/>
      </bottom>
      <diagonal/>
    </border>
    <border>
      <left style="mediumDash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Dashed">
        <color indexed="64"/>
      </right>
      <top style="hair">
        <color indexed="64"/>
      </top>
      <bottom/>
      <diagonal/>
    </border>
    <border>
      <left style="hair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Dashed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DashDot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DashDot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Dot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DashDot">
        <color indexed="64"/>
      </right>
      <top style="hair">
        <color indexed="64"/>
      </top>
      <bottom/>
      <diagonal/>
    </border>
    <border>
      <left style="hair">
        <color indexed="64"/>
      </left>
      <right style="mediumDashDot">
        <color indexed="64"/>
      </right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/>
      <diagonal/>
    </border>
    <border>
      <left style="mediumDashDotDot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39" fontId="5" fillId="0" borderId="0"/>
    <xf numFmtId="164" fontId="1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/>
    <xf numFmtId="9" fontId="64" fillId="0" borderId="0" applyFont="0" applyFill="0" applyBorder="0" applyAlignment="0" applyProtection="0"/>
  </cellStyleXfs>
  <cellXfs count="978">
    <xf numFmtId="0" fontId="0" fillId="0" borderId="0" xfId="0"/>
    <xf numFmtId="0" fontId="8" fillId="0" borderId="0" xfId="0" applyFont="1"/>
    <xf numFmtId="49" fontId="8" fillId="0" borderId="0" xfId="0" applyNumberFormat="1" applyFont="1"/>
    <xf numFmtId="3" fontId="8" fillId="0" borderId="0" xfId="0" applyNumberFormat="1" applyFont="1"/>
    <xf numFmtId="4" fontId="8" fillId="0" borderId="0" xfId="0" applyNumberFormat="1" applyFont="1"/>
    <xf numFmtId="4" fontId="8" fillId="2" borderId="0" xfId="0" applyNumberFormat="1" applyFont="1" applyFill="1"/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12" fillId="2" borderId="0" xfId="0" applyNumberFormat="1" applyFont="1" applyFill="1"/>
    <xf numFmtId="3" fontId="12" fillId="2" borderId="0" xfId="0" applyNumberFormat="1" applyFont="1" applyFill="1"/>
    <xf numFmtId="0" fontId="13" fillId="2" borderId="0" xfId="0" applyFont="1" applyFill="1" applyAlignment="1">
      <alignment vertical="center"/>
    </xf>
    <xf numFmtId="4" fontId="8" fillId="0" borderId="0" xfId="0" applyNumberFormat="1" applyFont="1" applyAlignment="1">
      <alignment horizontal="center"/>
    </xf>
    <xf numFmtId="0" fontId="15" fillId="0" borderId="0" xfId="0" applyFont="1"/>
    <xf numFmtId="4" fontId="18" fillId="2" borderId="6" xfId="5" applyNumberFormat="1" applyFont="1" applyFill="1" applyBorder="1"/>
    <xf numFmtId="4" fontId="18" fillId="2" borderId="6" xfId="0" applyNumberFormat="1" applyFont="1" applyFill="1" applyBorder="1"/>
    <xf numFmtId="0" fontId="18" fillId="2" borderId="0" xfId="0" applyFont="1" applyFill="1" applyAlignment="1">
      <alignment vertical="center"/>
    </xf>
    <xf numFmtId="164" fontId="18" fillId="2" borderId="0" xfId="0" applyNumberFormat="1" applyFont="1" applyFill="1" applyAlignment="1">
      <alignment vertical="center"/>
    </xf>
    <xf numFmtId="4" fontId="18" fillId="2" borderId="0" xfId="0" applyNumberFormat="1" applyFont="1" applyFill="1"/>
    <xf numFmtId="4" fontId="12" fillId="2" borderId="0" xfId="5" applyNumberFormat="1" applyFont="1" applyFill="1"/>
    <xf numFmtId="165" fontId="12" fillId="2" borderId="0" xfId="0" applyNumberFormat="1" applyFont="1" applyFill="1" applyAlignment="1">
      <alignment horizontal="center"/>
    </xf>
    <xf numFmtId="4" fontId="17" fillId="2" borderId="0" xfId="0" applyNumberFormat="1" applyFont="1" applyFill="1" applyAlignment="1">
      <alignment vertical="center"/>
    </xf>
    <xf numFmtId="4" fontId="13" fillId="2" borderId="0" xfId="5" applyNumberFormat="1" applyFont="1" applyFill="1" applyAlignment="1">
      <alignment horizontal="center" vertical="center"/>
    </xf>
    <xf numFmtId="4" fontId="18" fillId="2" borderId="0" xfId="0" applyNumberFormat="1" applyFont="1" applyFill="1" applyAlignment="1">
      <alignment vertical="center"/>
    </xf>
    <xf numFmtId="3" fontId="18" fillId="2" borderId="0" xfId="0" applyNumberFormat="1" applyFont="1" applyFill="1"/>
    <xf numFmtId="0" fontId="16" fillId="2" borderId="23" xfId="0" applyFont="1" applyFill="1" applyBorder="1" applyAlignment="1">
      <alignment horizontal="center" vertical="center" wrapText="1"/>
    </xf>
    <xf numFmtId="4" fontId="16" fillId="2" borderId="18" xfId="0" applyNumberFormat="1" applyFont="1" applyFill="1" applyBorder="1" applyAlignment="1">
      <alignment horizontal="center" vertical="center" wrapText="1"/>
    </xf>
    <xf numFmtId="4" fontId="18" fillId="2" borderId="0" xfId="5" applyNumberFormat="1" applyFont="1" applyFill="1" applyAlignment="1">
      <alignment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8" fillId="0" borderId="0" xfId="0" applyFont="1"/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4" fontId="8" fillId="2" borderId="0" xfId="0" applyNumberFormat="1" applyFont="1" applyFill="1" applyAlignment="1">
      <alignment vertical="center"/>
    </xf>
    <xf numFmtId="10" fontId="8" fillId="0" borderId="0" xfId="0" applyNumberFormat="1" applyFont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39" fontId="18" fillId="0" borderId="0" xfId="4" applyFont="1" applyAlignment="1">
      <alignment vertical="center"/>
    </xf>
    <xf numFmtId="3" fontId="13" fillId="0" borderId="0" xfId="0" applyNumberFormat="1" applyFont="1" applyAlignment="1">
      <alignment vertical="center"/>
    </xf>
    <xf numFmtId="4" fontId="13" fillId="2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3" fontId="18" fillId="2" borderId="6" xfId="0" applyNumberFormat="1" applyFont="1" applyFill="1" applyBorder="1"/>
    <xf numFmtId="0" fontId="18" fillId="2" borderId="0" xfId="0" applyFont="1" applyFill="1"/>
    <xf numFmtId="4" fontId="13" fillId="2" borderId="18" xfId="3" applyNumberFormat="1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3" fontId="13" fillId="2" borderId="0" xfId="0" applyNumberFormat="1" applyFont="1" applyFill="1" applyAlignment="1">
      <alignment horizontal="center" vertical="center"/>
    </xf>
    <xf numFmtId="166" fontId="12" fillId="2" borderId="0" xfId="5" applyNumberFormat="1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0" fontId="12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vertical="center" wrapText="1"/>
    </xf>
    <xf numFmtId="0" fontId="12" fillId="2" borderId="0" xfId="0" applyFont="1" applyFill="1" applyAlignment="1">
      <alignment wrapText="1"/>
    </xf>
    <xf numFmtId="0" fontId="22" fillId="0" borderId="0" xfId="0" applyFont="1"/>
    <xf numFmtId="3" fontId="22" fillId="0" borderId="0" xfId="0" applyNumberFormat="1" applyFont="1"/>
    <xf numFmtId="4" fontId="22" fillId="2" borderId="0" xfId="0" applyNumberFormat="1" applyFont="1" applyFill="1"/>
    <xf numFmtId="4" fontId="22" fillId="0" borderId="0" xfId="0" applyNumberFormat="1" applyFont="1"/>
    <xf numFmtId="0" fontId="9" fillId="2" borderId="0" xfId="0" applyFont="1" applyFill="1" applyAlignment="1">
      <alignment vertical="center"/>
    </xf>
    <xf numFmtId="39" fontId="18" fillId="2" borderId="13" xfId="4" applyFont="1" applyFill="1" applyBorder="1" applyAlignment="1">
      <alignment vertical="center"/>
    </xf>
    <xf numFmtId="3" fontId="18" fillId="2" borderId="14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4" fontId="16" fillId="2" borderId="27" xfId="5" applyNumberFormat="1" applyFont="1" applyFill="1" applyBorder="1" applyAlignment="1">
      <alignment horizontal="center" vertical="center" wrapText="1"/>
    </xf>
    <xf numFmtId="4" fontId="13" fillId="2" borderId="58" xfId="3" applyNumberFormat="1" applyFont="1" applyFill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0" fontId="23" fillId="0" borderId="0" xfId="0" applyFont="1" applyAlignment="1">
      <alignment horizontal="center"/>
    </xf>
    <xf numFmtId="3" fontId="11" fillId="2" borderId="0" xfId="0" applyNumberFormat="1" applyFont="1" applyFill="1" applyAlignment="1">
      <alignment vertical="center"/>
    </xf>
    <xf numFmtId="3" fontId="11" fillId="2" borderId="0" xfId="0" applyNumberFormat="1" applyFont="1" applyFill="1"/>
    <xf numFmtId="4" fontId="12" fillId="2" borderId="0" xfId="0" applyNumberFormat="1" applyFont="1" applyFill="1" applyAlignment="1">
      <alignment horizontal="center"/>
    </xf>
    <xf numFmtId="0" fontId="24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9" fontId="11" fillId="0" borderId="14" xfId="0" applyNumberFormat="1" applyFont="1" applyBorder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0" fontId="12" fillId="0" borderId="15" xfId="0" applyFont="1" applyBorder="1"/>
    <xf numFmtId="9" fontId="12" fillId="0" borderId="8" xfId="0" applyNumberFormat="1" applyFont="1" applyBorder="1" applyAlignment="1">
      <alignment horizontal="center"/>
    </xf>
    <xf numFmtId="9" fontId="12" fillId="0" borderId="9" xfId="0" applyNumberFormat="1" applyFont="1" applyBorder="1" applyAlignment="1">
      <alignment horizontal="center"/>
    </xf>
    <xf numFmtId="10" fontId="12" fillId="0" borderId="8" xfId="0" applyNumberFormat="1" applyFont="1" applyBorder="1" applyAlignment="1">
      <alignment horizontal="center"/>
    </xf>
    <xf numFmtId="10" fontId="12" fillId="0" borderId="9" xfId="0" applyNumberFormat="1" applyFont="1" applyBorder="1" applyAlignment="1">
      <alignment horizontal="center"/>
    </xf>
    <xf numFmtId="0" fontId="12" fillId="0" borderId="16" xfId="0" applyFont="1" applyBorder="1"/>
    <xf numFmtId="3" fontId="12" fillId="0" borderId="17" xfId="0" applyNumberFormat="1" applyFont="1" applyBorder="1" applyAlignment="1">
      <alignment horizontal="right"/>
    </xf>
    <xf numFmtId="10" fontId="12" fillId="0" borderId="17" xfId="0" applyNumberFormat="1" applyFont="1" applyBorder="1" applyAlignment="1">
      <alignment horizontal="center"/>
    </xf>
    <xf numFmtId="9" fontId="12" fillId="0" borderId="17" xfId="0" applyNumberFormat="1" applyFont="1" applyBorder="1" applyAlignment="1">
      <alignment horizontal="center"/>
    </xf>
    <xf numFmtId="9" fontId="12" fillId="0" borderId="22" xfId="0" applyNumberFormat="1" applyFont="1" applyBorder="1" applyAlignment="1">
      <alignment horizontal="center"/>
    </xf>
    <xf numFmtId="3" fontId="12" fillId="0" borderId="0" xfId="0" applyNumberFormat="1" applyFont="1"/>
    <xf numFmtId="4" fontId="12" fillId="0" borderId="0" xfId="0" applyNumberFormat="1" applyFont="1"/>
    <xf numFmtId="0" fontId="26" fillId="0" borderId="0" xfId="0" applyFont="1"/>
    <xf numFmtId="0" fontId="27" fillId="0" borderId="0" xfId="0" applyFont="1"/>
    <xf numFmtId="0" fontId="10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11" fillId="0" borderId="0" xfId="0" applyFont="1"/>
    <xf numFmtId="4" fontId="12" fillId="2" borderId="0" xfId="0" applyNumberFormat="1" applyFont="1" applyFill="1" applyAlignment="1">
      <alignment vertical="center"/>
    </xf>
    <xf numFmtId="4" fontId="11" fillId="2" borderId="0" xfId="0" applyNumberFormat="1" applyFont="1" applyFill="1" applyAlignment="1">
      <alignment vertical="center"/>
    </xf>
    <xf numFmtId="4" fontId="13" fillId="2" borderId="0" xfId="0" applyNumberFormat="1" applyFont="1" applyFill="1" applyAlignment="1">
      <alignment horizontal="center" vertical="center"/>
    </xf>
    <xf numFmtId="4" fontId="11" fillId="0" borderId="14" xfId="0" applyNumberFormat="1" applyFont="1" applyBorder="1" applyAlignment="1">
      <alignment horizontal="right" vertical="center"/>
    </xf>
    <xf numFmtId="4" fontId="12" fillId="0" borderId="8" xfId="0" applyNumberFormat="1" applyFont="1" applyBorder="1" applyAlignment="1">
      <alignment horizontal="right"/>
    </xf>
    <xf numFmtId="4" fontId="12" fillId="0" borderId="17" xfId="0" applyNumberFormat="1" applyFont="1" applyBorder="1" applyAlignment="1">
      <alignment horizontal="right"/>
    </xf>
    <xf numFmtId="4" fontId="21" fillId="2" borderId="8" xfId="0" applyNumberFormat="1" applyFont="1" applyFill="1" applyBorder="1" applyAlignment="1">
      <alignment vertical="center"/>
    </xf>
    <xf numFmtId="10" fontId="21" fillId="2" borderId="48" xfId="0" applyNumberFormat="1" applyFont="1" applyFill="1" applyBorder="1" applyAlignment="1">
      <alignment horizontal="center" vertical="center"/>
    </xf>
    <xf numFmtId="4" fontId="19" fillId="2" borderId="8" xfId="0" applyNumberFormat="1" applyFont="1" applyFill="1" applyBorder="1" applyAlignment="1">
      <alignment vertical="center"/>
    </xf>
    <xf numFmtId="10" fontId="19" fillId="2" borderId="48" xfId="0" applyNumberFormat="1" applyFont="1" applyFill="1" applyBorder="1" applyAlignment="1">
      <alignment horizontal="center" vertical="center"/>
    </xf>
    <xf numFmtId="4" fontId="19" fillId="2" borderId="17" xfId="0" applyNumberFormat="1" applyFont="1" applyFill="1" applyBorder="1" applyAlignment="1">
      <alignment vertical="center"/>
    </xf>
    <xf numFmtId="4" fontId="19" fillId="2" borderId="49" xfId="0" applyNumberFormat="1" applyFont="1" applyFill="1" applyBorder="1" applyAlignment="1">
      <alignment vertical="center"/>
    </xf>
    <xf numFmtId="49" fontId="19" fillId="2" borderId="16" xfId="4" applyNumberFormat="1" applyFont="1" applyFill="1" applyBorder="1" applyAlignment="1">
      <alignment horizontal="center" vertical="center"/>
    </xf>
    <xf numFmtId="10" fontId="21" fillId="2" borderId="50" xfId="0" applyNumberFormat="1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17" fillId="2" borderId="66" xfId="0" applyFont="1" applyFill="1" applyBorder="1" applyAlignment="1">
      <alignment horizontal="center" vertical="center"/>
    </xf>
    <xf numFmtId="49" fontId="35" fillId="0" borderId="0" xfId="0" applyNumberFormat="1" applyFont="1"/>
    <xf numFmtId="0" fontId="24" fillId="2" borderId="0" xfId="0" applyFont="1" applyFill="1" applyAlignment="1">
      <alignment vertical="center"/>
    </xf>
    <xf numFmtId="4" fontId="37" fillId="0" borderId="0" xfId="0" applyNumberFormat="1" applyFont="1"/>
    <xf numFmtId="2" fontId="12" fillId="0" borderId="15" xfId="0" applyNumberFormat="1" applyFont="1" applyBorder="1" applyAlignment="1">
      <alignment vertical="center"/>
    </xf>
    <xf numFmtId="4" fontId="12" fillId="0" borderId="9" xfId="0" applyNumberFormat="1" applyFont="1" applyBorder="1" applyAlignment="1">
      <alignment horizontal="right" vertical="center"/>
    </xf>
    <xf numFmtId="4" fontId="12" fillId="0" borderId="37" xfId="0" applyNumberFormat="1" applyFont="1" applyBorder="1" applyAlignment="1">
      <alignment horizontal="right" vertical="center"/>
    </xf>
    <xf numFmtId="4" fontId="12" fillId="0" borderId="8" xfId="0" applyNumberFormat="1" applyFont="1" applyBorder="1" applyAlignment="1">
      <alignment horizontal="right" vertical="center"/>
    </xf>
    <xf numFmtId="2" fontId="12" fillId="0" borderId="16" xfId="0" applyNumberFormat="1" applyFont="1" applyBorder="1" applyAlignment="1">
      <alignment vertical="center"/>
    </xf>
    <xf numFmtId="4" fontId="12" fillId="0" borderId="22" xfId="0" applyNumberFormat="1" applyFont="1" applyBorder="1" applyAlignment="1">
      <alignment horizontal="right" vertical="center"/>
    </xf>
    <xf numFmtId="4" fontId="12" fillId="0" borderId="55" xfId="0" applyNumberFormat="1" applyFont="1" applyBorder="1" applyAlignment="1">
      <alignment horizontal="right" vertical="center"/>
    </xf>
    <xf numFmtId="4" fontId="12" fillId="0" borderId="17" xfId="0" applyNumberFormat="1" applyFont="1" applyBorder="1" applyAlignment="1">
      <alignment horizontal="right" vertical="center"/>
    </xf>
    <xf numFmtId="0" fontId="12" fillId="0" borderId="39" xfId="0" applyFont="1" applyBorder="1" applyAlignment="1">
      <alignment vertical="center" wrapText="1"/>
    </xf>
    <xf numFmtId="0" fontId="39" fillId="0" borderId="0" xfId="0" applyFont="1"/>
    <xf numFmtId="4" fontId="18" fillId="2" borderId="0" xfId="0" applyNumberFormat="1" applyFont="1" applyFill="1" applyAlignment="1">
      <alignment horizontal="center"/>
    </xf>
    <xf numFmtId="0" fontId="41" fillId="0" borderId="0" xfId="0" applyFont="1"/>
    <xf numFmtId="4" fontId="12" fillId="0" borderId="39" xfId="0" applyNumberFormat="1" applyFont="1" applyBorder="1" applyAlignment="1">
      <alignment horizontal="right" vertical="center"/>
    </xf>
    <xf numFmtId="4" fontId="12" fillId="0" borderId="7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165" fontId="18" fillId="2" borderId="6" xfId="0" applyNumberFormat="1" applyFont="1" applyFill="1" applyBorder="1" applyAlignment="1">
      <alignment horizontal="center"/>
    </xf>
    <xf numFmtId="4" fontId="12" fillId="0" borderId="14" xfId="0" applyNumberFormat="1" applyFont="1" applyBorder="1" applyAlignment="1">
      <alignment horizontal="right" vertical="center"/>
    </xf>
    <xf numFmtId="2" fontId="12" fillId="0" borderId="13" xfId="0" applyNumberFormat="1" applyFont="1" applyBorder="1" applyAlignment="1">
      <alignment vertical="center"/>
    </xf>
    <xf numFmtId="4" fontId="12" fillId="0" borderId="20" xfId="0" applyNumberFormat="1" applyFont="1" applyBorder="1" applyAlignment="1">
      <alignment horizontal="right" vertical="center"/>
    </xf>
    <xf numFmtId="4" fontId="12" fillId="0" borderId="75" xfId="0" applyNumberFormat="1" applyFont="1" applyBorder="1" applyAlignment="1">
      <alignment horizontal="right" vertical="center"/>
    </xf>
    <xf numFmtId="2" fontId="12" fillId="0" borderId="14" xfId="0" applyNumberFormat="1" applyFont="1" applyBorder="1"/>
    <xf numFmtId="2" fontId="12" fillId="0" borderId="20" xfId="0" applyNumberFormat="1" applyFont="1" applyBorder="1"/>
    <xf numFmtId="2" fontId="12" fillId="2" borderId="63" xfId="3" applyNumberFormat="1" applyFont="1" applyFill="1" applyBorder="1" applyAlignment="1">
      <alignment vertical="center" wrapText="1"/>
    </xf>
    <xf numFmtId="2" fontId="12" fillId="2" borderId="62" xfId="3" applyNumberFormat="1" applyFont="1" applyFill="1" applyBorder="1" applyAlignment="1">
      <alignment vertical="center" wrapText="1"/>
    </xf>
    <xf numFmtId="2" fontId="12" fillId="0" borderId="61" xfId="0" applyNumberFormat="1" applyFont="1" applyBorder="1" applyAlignment="1">
      <alignment vertical="center"/>
    </xf>
    <xf numFmtId="0" fontId="42" fillId="2" borderId="6" xfId="0" applyFont="1" applyFill="1" applyBorder="1" applyAlignment="1">
      <alignment vertical="center"/>
    </xf>
    <xf numFmtId="0" fontId="17" fillId="0" borderId="71" xfId="0" applyFont="1" applyBorder="1" applyAlignment="1">
      <alignment horizontal="center" vertical="center"/>
    </xf>
    <xf numFmtId="0" fontId="43" fillId="2" borderId="0" xfId="0" applyFont="1" applyFill="1"/>
    <xf numFmtId="2" fontId="12" fillId="0" borderId="53" xfId="0" applyNumberFormat="1" applyFont="1" applyBorder="1" applyAlignment="1">
      <alignment vertical="center"/>
    </xf>
    <xf numFmtId="4" fontId="12" fillId="0" borderId="77" xfId="0" applyNumberFormat="1" applyFont="1" applyBorder="1" applyAlignment="1">
      <alignment horizontal="right" vertical="center"/>
    </xf>
    <xf numFmtId="0" fontId="11" fillId="0" borderId="61" xfId="0" applyFont="1" applyBorder="1" applyAlignment="1">
      <alignment vertical="center" wrapText="1"/>
    </xf>
    <xf numFmtId="4" fontId="11" fillId="0" borderId="63" xfId="0" applyNumberFormat="1" applyFont="1" applyBorder="1" applyAlignment="1">
      <alignment horizontal="right" vertical="center"/>
    </xf>
    <xf numFmtId="0" fontId="11" fillId="0" borderId="63" xfId="0" applyFont="1" applyBorder="1" applyAlignment="1">
      <alignment vertical="center" wrapText="1"/>
    </xf>
    <xf numFmtId="4" fontId="11" fillId="0" borderId="63" xfId="0" applyNumberFormat="1" applyFont="1" applyBorder="1" applyAlignment="1">
      <alignment vertical="center" wrapText="1"/>
    </xf>
    <xf numFmtId="2" fontId="11" fillId="0" borderId="61" xfId="0" applyNumberFormat="1" applyFont="1" applyBorder="1" applyAlignment="1">
      <alignment vertical="center"/>
    </xf>
    <xf numFmtId="4" fontId="11" fillId="0" borderId="64" xfId="0" applyNumberFormat="1" applyFont="1" applyBorder="1" applyAlignment="1">
      <alignment vertical="center" wrapText="1"/>
    </xf>
    <xf numFmtId="4" fontId="11" fillId="0" borderId="64" xfId="0" applyNumberFormat="1" applyFont="1" applyBorder="1" applyAlignment="1">
      <alignment horizontal="right" vertical="center"/>
    </xf>
    <xf numFmtId="4" fontId="11" fillId="0" borderId="74" xfId="0" applyNumberFormat="1" applyFont="1" applyBorder="1" applyAlignment="1">
      <alignment horizontal="right" vertical="center"/>
    </xf>
    <xf numFmtId="0" fontId="12" fillId="0" borderId="54" xfId="0" applyFont="1" applyBorder="1" applyAlignment="1">
      <alignment vertical="center" wrapText="1"/>
    </xf>
    <xf numFmtId="0" fontId="44" fillId="0" borderId="0" xfId="0" applyFont="1" applyAlignment="1">
      <alignment vertical="center"/>
    </xf>
    <xf numFmtId="0" fontId="11" fillId="0" borderId="62" xfId="0" applyFont="1" applyBorder="1" applyAlignment="1">
      <alignment vertical="center" wrapText="1"/>
    </xf>
    <xf numFmtId="2" fontId="12" fillId="2" borderId="16" xfId="3" applyNumberFormat="1" applyFont="1" applyFill="1" applyBorder="1" applyAlignment="1">
      <alignment horizontal="center" vertical="center"/>
    </xf>
    <xf numFmtId="2" fontId="12" fillId="2" borderId="17" xfId="3" applyNumberFormat="1" applyFont="1" applyFill="1" applyBorder="1" applyAlignment="1">
      <alignment vertical="center" wrapText="1"/>
    </xf>
    <xf numFmtId="2" fontId="12" fillId="0" borderId="17" xfId="0" applyNumberFormat="1" applyFont="1" applyBorder="1"/>
    <xf numFmtId="2" fontId="12" fillId="0" borderId="22" xfId="0" applyNumberFormat="1" applyFont="1" applyBorder="1"/>
    <xf numFmtId="2" fontId="12" fillId="2" borderId="30" xfId="3" applyNumberFormat="1" applyFont="1" applyFill="1" applyBorder="1" applyAlignment="1">
      <alignment vertical="center" wrapText="1"/>
    </xf>
    <xf numFmtId="0" fontId="12" fillId="0" borderId="53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0" fontId="31" fillId="2" borderId="0" xfId="0" applyFont="1" applyFill="1"/>
    <xf numFmtId="0" fontId="45" fillId="2" borderId="6" xfId="0" applyFont="1" applyFill="1" applyBorder="1" applyAlignment="1">
      <alignment vertical="center"/>
    </xf>
    <xf numFmtId="2" fontId="12" fillId="2" borderId="53" xfId="3" applyNumberFormat="1" applyFont="1" applyFill="1" applyBorder="1" applyAlignment="1">
      <alignment horizontal="center" vertical="center"/>
    </xf>
    <xf numFmtId="2" fontId="12" fillId="2" borderId="39" xfId="3" applyNumberFormat="1" applyFont="1" applyFill="1" applyBorder="1" applyAlignment="1">
      <alignment vertical="center" wrapText="1"/>
    </xf>
    <xf numFmtId="2" fontId="12" fillId="2" borderId="54" xfId="3" applyNumberFormat="1" applyFont="1" applyFill="1" applyBorder="1" applyAlignment="1">
      <alignment vertical="center" wrapText="1"/>
    </xf>
    <xf numFmtId="2" fontId="12" fillId="0" borderId="39" xfId="0" applyNumberFormat="1" applyFont="1" applyBorder="1"/>
    <xf numFmtId="2" fontId="12" fillId="0" borderId="72" xfId="0" applyNumberFormat="1" applyFont="1" applyBorder="1"/>
    <xf numFmtId="4" fontId="12" fillId="0" borderId="64" xfId="0" applyNumberFormat="1" applyFont="1" applyBorder="1" applyAlignment="1">
      <alignment horizontal="right" vertical="center"/>
    </xf>
    <xf numFmtId="4" fontId="12" fillId="0" borderId="74" xfId="0" applyNumberFormat="1" applyFont="1" applyBorder="1" applyAlignment="1">
      <alignment horizontal="right" vertical="center"/>
    </xf>
    <xf numFmtId="4" fontId="12" fillId="0" borderId="63" xfId="0" applyNumberFormat="1" applyFont="1" applyBorder="1" applyAlignment="1">
      <alignment horizontal="right" vertical="center"/>
    </xf>
    <xf numFmtId="2" fontId="12" fillId="0" borderId="63" xfId="0" applyNumberFormat="1" applyFont="1" applyBorder="1"/>
    <xf numFmtId="2" fontId="12" fillId="0" borderId="64" xfId="0" applyNumberFormat="1" applyFont="1" applyBorder="1"/>
    <xf numFmtId="4" fontId="46" fillId="2" borderId="0" xfId="0" applyNumberFormat="1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46" fillId="2" borderId="6" xfId="0" applyFont="1" applyFill="1" applyBorder="1" applyAlignment="1">
      <alignment vertical="center"/>
    </xf>
    <xf numFmtId="3" fontId="13" fillId="0" borderId="0" xfId="4" applyNumberFormat="1" applyFont="1" applyAlignment="1">
      <alignment vertical="center"/>
    </xf>
    <xf numFmtId="4" fontId="46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4" fontId="12" fillId="2" borderId="0" xfId="5" applyNumberFormat="1" applyFont="1" applyFill="1" applyAlignment="1">
      <alignment vertical="center"/>
    </xf>
    <xf numFmtId="10" fontId="12" fillId="2" borderId="0" xfId="0" applyNumberFormat="1" applyFont="1" applyFill="1" applyAlignment="1">
      <alignment horizontal="center" vertical="center"/>
    </xf>
    <xf numFmtId="0" fontId="48" fillId="0" borderId="0" xfId="0" applyFont="1"/>
    <xf numFmtId="0" fontId="49" fillId="2" borderId="6" xfId="0" applyFont="1" applyFill="1" applyBorder="1" applyAlignment="1">
      <alignment vertical="center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left"/>
    </xf>
    <xf numFmtId="166" fontId="50" fillId="0" borderId="0" xfId="5" applyNumberFormat="1" applyFont="1" applyAlignment="1">
      <alignment horizontal="center"/>
    </xf>
    <xf numFmtId="0" fontId="12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" fontId="13" fillId="0" borderId="18" xfId="3" applyNumberFormat="1" applyFont="1" applyBorder="1" applyAlignment="1">
      <alignment horizontal="center" vertical="center" wrapText="1"/>
    </xf>
    <xf numFmtId="4" fontId="18" fillId="0" borderId="6" xfId="0" applyNumberFormat="1" applyFont="1" applyBorder="1"/>
    <xf numFmtId="4" fontId="19" fillId="0" borderId="8" xfId="0" applyNumberFormat="1" applyFont="1" applyBorder="1" applyAlignment="1">
      <alignment vertical="center"/>
    </xf>
    <xf numFmtId="10" fontId="19" fillId="0" borderId="48" xfId="0" applyNumberFormat="1" applyFont="1" applyBorder="1" applyAlignment="1">
      <alignment horizontal="center" vertical="center"/>
    </xf>
    <xf numFmtId="4" fontId="21" fillId="0" borderId="8" xfId="0" applyNumberFormat="1" applyFont="1" applyBorder="1" applyAlignment="1">
      <alignment vertical="center"/>
    </xf>
    <xf numFmtId="10" fontId="21" fillId="0" borderId="48" xfId="0" applyNumberFormat="1" applyFont="1" applyBorder="1" applyAlignment="1">
      <alignment horizontal="center" vertical="center"/>
    </xf>
    <xf numFmtId="4" fontId="34" fillId="0" borderId="8" xfId="0" applyNumberFormat="1" applyFont="1" applyBorder="1" applyAlignment="1">
      <alignment vertical="center"/>
    </xf>
    <xf numFmtId="10" fontId="34" fillId="0" borderId="48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4" fontId="16" fillId="2" borderId="0" xfId="5" applyNumberFormat="1" applyFont="1" applyFill="1" applyAlignment="1">
      <alignment horizontal="center" vertical="center"/>
    </xf>
    <xf numFmtId="4" fontId="3" fillId="2" borderId="0" xfId="5" applyNumberFormat="1" applyFont="1" applyFill="1"/>
    <xf numFmtId="0" fontId="3" fillId="0" borderId="0" xfId="0" applyFont="1" applyAlignment="1">
      <alignment vertical="center"/>
    </xf>
    <xf numFmtId="4" fontId="12" fillId="0" borderId="39" xfId="0" applyNumberFormat="1" applyFont="1" applyBorder="1" applyAlignment="1">
      <alignment vertical="center" wrapText="1"/>
    </xf>
    <xf numFmtId="3" fontId="18" fillId="2" borderId="33" xfId="0" applyNumberFormat="1" applyFont="1" applyFill="1" applyBorder="1" applyAlignment="1">
      <alignment vertical="center"/>
    </xf>
    <xf numFmtId="4" fontId="21" fillId="2" borderId="29" xfId="0" applyNumberFormat="1" applyFont="1" applyFill="1" applyBorder="1" applyAlignment="1">
      <alignment vertical="center"/>
    </xf>
    <xf numFmtId="4" fontId="19" fillId="2" borderId="29" xfId="0" applyNumberFormat="1" applyFont="1" applyFill="1" applyBorder="1" applyAlignment="1">
      <alignment vertical="center"/>
    </xf>
    <xf numFmtId="4" fontId="19" fillId="0" borderId="29" xfId="0" applyNumberFormat="1" applyFont="1" applyBorder="1" applyAlignment="1">
      <alignment vertical="center"/>
    </xf>
    <xf numFmtId="4" fontId="21" fillId="0" borderId="29" xfId="0" applyNumberFormat="1" applyFont="1" applyBorder="1" applyAlignment="1">
      <alignment vertical="center"/>
    </xf>
    <xf numFmtId="4" fontId="34" fillId="0" borderId="29" xfId="0" applyNumberFormat="1" applyFont="1" applyBorder="1" applyAlignment="1">
      <alignment vertical="center"/>
    </xf>
    <xf numFmtId="4" fontId="19" fillId="2" borderId="30" xfId="0" applyNumberFormat="1" applyFont="1" applyFill="1" applyBorder="1" applyAlignment="1">
      <alignment vertical="center"/>
    </xf>
    <xf numFmtId="0" fontId="51" fillId="0" borderId="0" xfId="0" applyFont="1"/>
    <xf numFmtId="3" fontId="11" fillId="0" borderId="0" xfId="4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54" fillId="2" borderId="18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0" xfId="0" applyFont="1"/>
    <xf numFmtId="0" fontId="19" fillId="0" borderId="0" xfId="0" applyFont="1"/>
    <xf numFmtId="0" fontId="56" fillId="0" borderId="4" xfId="0" applyFont="1" applyBorder="1" applyAlignment="1" applyProtection="1">
      <alignment horizontal="left" vertical="center"/>
      <protection locked="0"/>
    </xf>
    <xf numFmtId="4" fontId="57" fillId="0" borderId="5" xfId="0" applyNumberFormat="1" applyFont="1" applyBorder="1" applyAlignment="1" applyProtection="1">
      <alignment horizontal="right" vertical="center"/>
      <protection locked="0"/>
    </xf>
    <xf numFmtId="0" fontId="57" fillId="0" borderId="4" xfId="0" applyFont="1" applyBorder="1" applyAlignment="1" applyProtection="1">
      <alignment horizontal="left" vertical="center"/>
      <protection locked="0"/>
    </xf>
    <xf numFmtId="0" fontId="57" fillId="0" borderId="5" xfId="0" applyFont="1" applyBorder="1" applyAlignment="1" applyProtection="1">
      <alignment horizontal="right" vertical="center"/>
      <protection locked="0"/>
    </xf>
    <xf numFmtId="4" fontId="57" fillId="0" borderId="6" xfId="0" applyNumberFormat="1" applyFont="1" applyBorder="1" applyAlignment="1" applyProtection="1">
      <alignment horizontal="right" vertical="center"/>
      <protection locked="0"/>
    </xf>
    <xf numFmtId="4" fontId="56" fillId="0" borderId="5" xfId="0" applyNumberFormat="1" applyFont="1" applyBorder="1" applyAlignment="1" applyProtection="1">
      <alignment horizontal="right" vertical="center"/>
      <protection locked="0"/>
    </xf>
    <xf numFmtId="0" fontId="57" fillId="0" borderId="5" xfId="0" applyFont="1" applyBorder="1" applyAlignment="1" applyProtection="1">
      <alignment horizontal="left" vertical="center"/>
      <protection locked="0"/>
    </xf>
    <xf numFmtId="4" fontId="56" fillId="0" borderId="7" xfId="0" applyNumberFormat="1" applyFont="1" applyBorder="1" applyAlignment="1" applyProtection="1">
      <alignment horizontal="right" vertical="center"/>
      <protection locked="0"/>
    </xf>
    <xf numFmtId="166" fontId="50" fillId="0" borderId="0" xfId="5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14" fontId="61" fillId="0" borderId="15" xfId="0" applyNumberFormat="1" applyFont="1" applyBorder="1" applyAlignment="1">
      <alignment horizontal="center" vertical="center"/>
    </xf>
    <xf numFmtId="14" fontId="61" fillId="0" borderId="16" xfId="0" applyNumberFormat="1" applyFont="1" applyBorder="1" applyAlignment="1">
      <alignment horizontal="center" vertical="center"/>
    </xf>
    <xf numFmtId="0" fontId="58" fillId="0" borderId="69" xfId="0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4" fontId="60" fillId="0" borderId="0" xfId="0" applyNumberFormat="1" applyFont="1"/>
    <xf numFmtId="0" fontId="61" fillId="0" borderId="8" xfId="0" applyFont="1" applyBorder="1" applyAlignment="1">
      <alignment horizontal="left" vertical="center" wrapText="1"/>
    </xf>
    <xf numFmtId="4" fontId="60" fillId="0" borderId="9" xfId="0" applyNumberFormat="1" applyFont="1" applyBorder="1" applyAlignment="1">
      <alignment vertical="center"/>
    </xf>
    <xf numFmtId="14" fontId="61" fillId="0" borderId="13" xfId="0" applyNumberFormat="1" applyFont="1" applyBorder="1" applyAlignment="1">
      <alignment horizontal="center" vertical="center"/>
    </xf>
    <xf numFmtId="0" fontId="61" fillId="0" borderId="14" xfId="0" applyFont="1" applyBorder="1" applyAlignment="1">
      <alignment horizontal="left" vertical="center" wrapText="1"/>
    </xf>
    <xf numFmtId="4" fontId="60" fillId="0" borderId="20" xfId="0" applyNumberFormat="1" applyFont="1" applyBorder="1" applyAlignment="1">
      <alignment vertical="center"/>
    </xf>
    <xf numFmtId="49" fontId="18" fillId="3" borderId="13" xfId="0" applyNumberFormat="1" applyFont="1" applyFill="1" applyBorder="1" applyAlignment="1" applyProtection="1">
      <alignment horizontal="center" vertical="center"/>
      <protection locked="0"/>
    </xf>
    <xf numFmtId="0" fontId="18" fillId="3" borderId="14" xfId="2" applyFont="1" applyFill="1" applyBorder="1" applyAlignment="1" applyProtection="1">
      <alignment vertical="center" wrapText="1"/>
      <protection locked="0"/>
    </xf>
    <xf numFmtId="4" fontId="18" fillId="3" borderId="14" xfId="0" applyNumberFormat="1" applyFont="1" applyFill="1" applyBorder="1" applyAlignment="1" applyProtection="1">
      <alignment vertical="center"/>
      <protection locked="0"/>
    </xf>
    <xf numFmtId="4" fontId="18" fillId="3" borderId="20" xfId="0" applyNumberFormat="1" applyFont="1" applyFill="1" applyBorder="1" applyAlignment="1" applyProtection="1">
      <alignment vertical="center" wrapText="1"/>
      <protection locked="0"/>
    </xf>
    <xf numFmtId="49" fontId="18" fillId="3" borderId="15" xfId="0" applyNumberFormat="1" applyFont="1" applyFill="1" applyBorder="1" applyAlignment="1" applyProtection="1">
      <alignment horizontal="center" vertical="center"/>
      <protection locked="0"/>
    </xf>
    <xf numFmtId="0" fontId="18" fillId="3" borderId="8" xfId="2" applyFont="1" applyFill="1" applyBorder="1" applyAlignment="1" applyProtection="1">
      <alignment horizontal="left" vertical="center" wrapText="1"/>
      <protection locked="0"/>
    </xf>
    <xf numFmtId="4" fontId="18" fillId="3" borderId="8" xfId="0" applyNumberFormat="1" applyFont="1" applyFill="1" applyBorder="1" applyAlignment="1" applyProtection="1">
      <alignment vertical="center"/>
      <protection locked="0"/>
    </xf>
    <xf numFmtId="4" fontId="18" fillId="3" borderId="9" xfId="0" applyNumberFormat="1" applyFont="1" applyFill="1" applyBorder="1" applyAlignment="1" applyProtection="1">
      <alignment vertical="center" wrapText="1"/>
      <protection locked="0"/>
    </xf>
    <xf numFmtId="49" fontId="7" fillId="3" borderId="0" xfId="0" applyNumberFormat="1" applyFont="1" applyFill="1" applyAlignment="1" applyProtection="1">
      <alignment horizontal="left" vertical="center"/>
      <protection locked="0"/>
    </xf>
    <xf numFmtId="0" fontId="17" fillId="0" borderId="59" xfId="0" applyFont="1" applyBorder="1" applyAlignment="1">
      <alignment horizontal="center" vertical="center"/>
    </xf>
    <xf numFmtId="4" fontId="59" fillId="0" borderId="70" xfId="0" applyNumberFormat="1" applyFont="1" applyBorder="1" applyAlignment="1">
      <alignment vertical="center"/>
    </xf>
    <xf numFmtId="0" fontId="16" fillId="0" borderId="88" xfId="0" applyFont="1" applyBorder="1" applyAlignment="1">
      <alignment horizontal="center" vertical="center"/>
    </xf>
    <xf numFmtId="0" fontId="16" fillId="0" borderId="89" xfId="0" applyFont="1" applyBorder="1" applyAlignment="1">
      <alignment horizontal="center" vertical="center"/>
    </xf>
    <xf numFmtId="0" fontId="16" fillId="0" borderId="89" xfId="0" applyFont="1" applyBorder="1" applyAlignment="1">
      <alignment horizontal="left" vertical="center"/>
    </xf>
    <xf numFmtId="4" fontId="16" fillId="0" borderId="90" xfId="5" applyNumberFormat="1" applyFont="1" applyBorder="1" applyAlignment="1">
      <alignment horizontal="right" vertical="center"/>
    </xf>
    <xf numFmtId="0" fontId="56" fillId="0" borderId="5" xfId="0" applyFont="1" applyBorder="1" applyAlignment="1" applyProtection="1">
      <alignment horizontal="center" vertical="center"/>
      <protection locked="0"/>
    </xf>
    <xf numFmtId="4" fontId="53" fillId="2" borderId="0" xfId="0" applyNumberFormat="1" applyFont="1" applyFill="1" applyAlignment="1">
      <alignment horizontal="center" vertical="center"/>
    </xf>
    <xf numFmtId="3" fontId="52" fillId="2" borderId="0" xfId="0" applyNumberFormat="1" applyFont="1" applyFill="1"/>
    <xf numFmtId="3" fontId="52" fillId="2" borderId="0" xfId="0" applyNumberFormat="1" applyFont="1" applyFill="1" applyAlignment="1">
      <alignment vertical="center"/>
    </xf>
    <xf numFmtId="0" fontId="6" fillId="0" borderId="0" xfId="0" applyFont="1"/>
    <xf numFmtId="2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horizontal="right" vertical="center"/>
    </xf>
    <xf numFmtId="4" fontId="12" fillId="0" borderId="3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2" fontId="12" fillId="0" borderId="10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1" xfId="0" applyNumberFormat="1" applyFont="1" applyBorder="1" applyAlignment="1">
      <alignment horizontal="right" vertical="center"/>
    </xf>
    <xf numFmtId="0" fontId="11" fillId="0" borderId="57" xfId="0" applyFont="1" applyBorder="1" applyAlignment="1">
      <alignment vertical="center" wrapText="1"/>
    </xf>
    <xf numFmtId="4" fontId="11" fillId="0" borderId="11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38" xfId="0" applyNumberFormat="1" applyFont="1" applyBorder="1" applyAlignment="1">
      <alignment horizontal="right" vertical="center"/>
    </xf>
    <xf numFmtId="4" fontId="12" fillId="2" borderId="8" xfId="0" applyNumberFormat="1" applyFont="1" applyFill="1" applyBorder="1" applyAlignment="1">
      <alignment horizontal="right"/>
    </xf>
    <xf numFmtId="39" fontId="21" fillId="2" borderId="8" xfId="4" applyFont="1" applyFill="1" applyBorder="1" applyAlignment="1">
      <alignment vertical="center"/>
    </xf>
    <xf numFmtId="39" fontId="19" fillId="2" borderId="8" xfId="4" applyFont="1" applyFill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39" fontId="21" fillId="0" borderId="8" xfId="4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4" fontId="21" fillId="2" borderId="25" xfId="0" applyNumberFormat="1" applyFont="1" applyFill="1" applyBorder="1" applyAlignment="1">
      <alignment vertical="center"/>
    </xf>
    <xf numFmtId="4" fontId="19" fillId="2" borderId="25" xfId="0" applyNumberFormat="1" applyFont="1" applyFill="1" applyBorder="1" applyAlignment="1">
      <alignment vertical="center"/>
    </xf>
    <xf numFmtId="4" fontId="19" fillId="0" borderId="25" xfId="0" applyNumberFormat="1" applyFont="1" applyBorder="1" applyAlignment="1">
      <alignment vertical="center"/>
    </xf>
    <xf numFmtId="4" fontId="21" fillId="0" borderId="25" xfId="0" applyNumberFormat="1" applyFont="1" applyBorder="1" applyAlignment="1">
      <alignment vertical="center"/>
    </xf>
    <xf numFmtId="4" fontId="34" fillId="0" borderId="25" xfId="0" applyNumberFormat="1" applyFont="1" applyBorder="1" applyAlignment="1">
      <alignment vertical="center"/>
    </xf>
    <xf numFmtId="4" fontId="19" fillId="2" borderId="83" xfId="0" applyNumberFormat="1" applyFont="1" applyFill="1" applyBorder="1" applyAlignment="1">
      <alignment vertical="center"/>
    </xf>
    <xf numFmtId="4" fontId="21" fillId="2" borderId="40" xfId="0" applyNumberFormat="1" applyFont="1" applyFill="1" applyBorder="1" applyAlignment="1">
      <alignment vertical="center"/>
    </xf>
    <xf numFmtId="4" fontId="19" fillId="2" borderId="40" xfId="0" applyNumberFormat="1" applyFont="1" applyFill="1" applyBorder="1" applyAlignment="1">
      <alignment vertical="center"/>
    </xf>
    <xf numFmtId="4" fontId="19" fillId="0" borderId="40" xfId="0" applyNumberFormat="1" applyFont="1" applyBorder="1" applyAlignment="1">
      <alignment vertical="center"/>
    </xf>
    <xf numFmtId="4" fontId="21" fillId="0" borderId="40" xfId="0" applyNumberFormat="1" applyFont="1" applyBorder="1" applyAlignment="1">
      <alignment vertical="center"/>
    </xf>
    <xf numFmtId="4" fontId="34" fillId="0" borderId="40" xfId="0" applyNumberFormat="1" applyFont="1" applyBorder="1" applyAlignment="1">
      <alignment vertical="center"/>
    </xf>
    <xf numFmtId="39" fontId="18" fillId="2" borderId="14" xfId="4" applyFont="1" applyFill="1" applyBorder="1" applyAlignment="1">
      <alignment vertical="center"/>
    </xf>
    <xf numFmtId="4" fontId="18" fillId="2" borderId="95" xfId="0" applyNumberFormat="1" applyFont="1" applyFill="1" applyBorder="1" applyAlignment="1">
      <alignment vertical="center"/>
    </xf>
    <xf numFmtId="4" fontId="18" fillId="2" borderId="14" xfId="0" applyNumberFormat="1" applyFont="1" applyFill="1" applyBorder="1" applyAlignment="1">
      <alignment vertical="center"/>
    </xf>
    <xf numFmtId="4" fontId="18" fillId="2" borderId="96" xfId="0" applyNumberFormat="1" applyFont="1" applyFill="1" applyBorder="1" applyAlignment="1">
      <alignment horizontal="center" vertical="center"/>
    </xf>
    <xf numFmtId="4" fontId="18" fillId="2" borderId="35" xfId="0" applyNumberFormat="1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3" fontId="13" fillId="2" borderId="14" xfId="3" applyNumberFormat="1" applyFont="1" applyFill="1" applyBorder="1" applyAlignment="1">
      <alignment horizontal="center" vertical="center" wrapText="1"/>
    </xf>
    <xf numFmtId="4" fontId="13" fillId="2" borderId="14" xfId="3" applyNumberFormat="1" applyFont="1" applyFill="1" applyBorder="1" applyAlignment="1">
      <alignment horizontal="center" vertical="center" wrapText="1"/>
    </xf>
    <xf numFmtId="4" fontId="13" fillId="2" borderId="33" xfId="5" applyNumberFormat="1" applyFont="1" applyFill="1" applyBorder="1" applyAlignment="1">
      <alignment horizontal="center" vertical="center" wrapText="1"/>
    </xf>
    <xf numFmtId="4" fontId="13" fillId="2" borderId="75" xfId="3" applyNumberFormat="1" applyFont="1" applyFill="1" applyBorder="1" applyAlignment="1">
      <alignment horizontal="center" vertical="center" wrapText="1"/>
    </xf>
    <xf numFmtId="4" fontId="13" fillId="2" borderId="95" xfId="3" applyNumberFormat="1" applyFont="1" applyFill="1" applyBorder="1" applyAlignment="1">
      <alignment horizontal="center" vertical="center" wrapText="1"/>
    </xf>
    <xf numFmtId="4" fontId="16" fillId="2" borderId="96" xfId="5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horizontal="center" vertical="center" wrapText="1"/>
    </xf>
    <xf numFmtId="3" fontId="21" fillId="2" borderId="14" xfId="3" applyNumberFormat="1" applyFont="1" applyFill="1" applyBorder="1" applyAlignment="1">
      <alignment horizontal="center" vertical="center" wrapText="1"/>
    </xf>
    <xf numFmtId="4" fontId="13" fillId="0" borderId="14" xfId="3" applyNumberFormat="1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49" fontId="21" fillId="2" borderId="15" xfId="4" applyNumberFormat="1" applyFont="1" applyFill="1" applyBorder="1" applyAlignment="1">
      <alignment horizontal="left" vertical="center"/>
    </xf>
    <xf numFmtId="49" fontId="19" fillId="2" borderId="15" xfId="4" applyNumberFormat="1" applyFont="1" applyFill="1" applyBorder="1" applyAlignment="1">
      <alignment horizontal="left" vertical="center"/>
    </xf>
    <xf numFmtId="49" fontId="19" fillId="0" borderId="15" xfId="4" applyNumberFormat="1" applyFont="1" applyBorder="1" applyAlignment="1">
      <alignment horizontal="left" vertical="center"/>
    </xf>
    <xf numFmtId="49" fontId="21" fillId="0" borderId="15" xfId="4" applyNumberFormat="1" applyFont="1" applyBorder="1" applyAlignment="1">
      <alignment horizontal="left" vertical="center"/>
    </xf>
    <xf numFmtId="49" fontId="34" fillId="0" borderId="15" xfId="4" applyNumberFormat="1" applyFont="1" applyBorder="1" applyAlignment="1">
      <alignment horizontal="left" vertical="center"/>
    </xf>
    <xf numFmtId="49" fontId="40" fillId="0" borderId="15" xfId="4" applyNumberFormat="1" applyFont="1" applyBorder="1" applyAlignment="1">
      <alignment horizontal="left" vertical="center"/>
    </xf>
    <xf numFmtId="4" fontId="21" fillId="2" borderId="48" xfId="0" applyNumberFormat="1" applyFont="1" applyFill="1" applyBorder="1" applyAlignment="1">
      <alignment vertical="center"/>
    </xf>
    <xf numFmtId="4" fontId="60" fillId="0" borderId="22" xfId="0" applyNumberFormat="1" applyFont="1" applyBorder="1" applyAlignment="1">
      <alignment vertical="center"/>
    </xf>
    <xf numFmtId="4" fontId="44" fillId="0" borderId="0" xfId="0" applyNumberFormat="1" applyFont="1"/>
    <xf numFmtId="0" fontId="11" fillId="2" borderId="0" xfId="0" applyFont="1" applyFill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56" fillId="0" borderId="0" xfId="0" applyFont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left" vertical="center"/>
      <protection locked="0"/>
    </xf>
    <xf numFmtId="4" fontId="57" fillId="0" borderId="0" xfId="0" applyNumberFormat="1" applyFont="1" applyAlignment="1" applyProtection="1">
      <alignment horizontal="right" vertical="center"/>
      <protection locked="0"/>
    </xf>
    <xf numFmtId="0" fontId="63" fillId="0" borderId="0" xfId="0" applyFont="1"/>
    <xf numFmtId="164" fontId="8" fillId="0" borderId="0" xfId="5" applyFont="1" applyAlignment="1">
      <alignment vertical="center"/>
    </xf>
    <xf numFmtId="164" fontId="38" fillId="0" borderId="0" xfId="5" applyFont="1" applyAlignment="1">
      <alignment vertical="center"/>
    </xf>
    <xf numFmtId="43" fontId="38" fillId="0" borderId="0" xfId="0" applyNumberFormat="1" applyFont="1" applyAlignment="1">
      <alignment vertical="center"/>
    </xf>
    <xf numFmtId="0" fontId="65" fillId="0" borderId="0" xfId="0" applyFont="1"/>
    <xf numFmtId="0" fontId="13" fillId="0" borderId="0" xfId="0" applyFont="1" applyAlignment="1">
      <alignment horizontal="left"/>
    </xf>
    <xf numFmtId="166" fontId="17" fillId="0" borderId="0" xfId="5" applyNumberFormat="1" applyFont="1" applyAlignment="1">
      <alignment horizontal="center"/>
    </xf>
    <xf numFmtId="166" fontId="13" fillId="6" borderId="60" xfId="5" applyNumberFormat="1" applyFont="1" applyFill="1" applyBorder="1" applyAlignment="1">
      <alignment horizontal="center" vertical="center" wrapText="1"/>
    </xf>
    <xf numFmtId="0" fontId="17" fillId="0" borderId="91" xfId="0" applyFont="1" applyBorder="1" applyAlignment="1">
      <alignment horizontal="center" vertical="center"/>
    </xf>
    <xf numFmtId="0" fontId="18" fillId="2" borderId="79" xfId="0" applyFont="1" applyFill="1" applyBorder="1" applyAlignment="1">
      <alignment horizontal="left" vertical="center"/>
    </xf>
    <xf numFmtId="168" fontId="17" fillId="0" borderId="91" xfId="0" applyNumberFormat="1" applyFont="1" applyBorder="1" applyAlignment="1">
      <alignment horizontal="right" vertical="center"/>
    </xf>
    <xf numFmtId="10" fontId="17" fillId="0" borderId="91" xfId="0" applyNumberFormat="1" applyFont="1" applyBorder="1" applyAlignment="1">
      <alignment horizontal="center" vertical="center"/>
    </xf>
    <xf numFmtId="0" fontId="18" fillId="2" borderId="71" xfId="0" applyFont="1" applyFill="1" applyBorder="1" applyAlignment="1">
      <alignment horizontal="left" vertical="center"/>
    </xf>
    <xf numFmtId="10" fontId="17" fillId="0" borderId="71" xfId="0" applyNumberFormat="1" applyFont="1" applyBorder="1" applyAlignment="1">
      <alignment horizontal="center" vertical="center"/>
    </xf>
    <xf numFmtId="0" fontId="17" fillId="0" borderId="100" xfId="0" applyFont="1" applyBorder="1" applyAlignment="1">
      <alignment horizontal="center" vertical="center"/>
    </xf>
    <xf numFmtId="0" fontId="18" fillId="2" borderId="97" xfId="0" applyFont="1" applyFill="1" applyBorder="1" applyAlignment="1">
      <alignment horizontal="left" vertical="center"/>
    </xf>
    <xf numFmtId="0" fontId="16" fillId="6" borderId="99" xfId="0" applyFont="1" applyFill="1" applyBorder="1" applyAlignment="1">
      <alignment horizontal="center" vertical="center"/>
    </xf>
    <xf numFmtId="0" fontId="16" fillId="6" borderId="99" xfId="0" applyFont="1" applyFill="1" applyBorder="1" applyAlignment="1">
      <alignment horizontal="left" vertical="center"/>
    </xf>
    <xf numFmtId="168" fontId="16" fillId="6" borderId="99" xfId="0" applyNumberFormat="1" applyFont="1" applyFill="1" applyBorder="1" applyAlignment="1">
      <alignment horizontal="right" vertical="center"/>
    </xf>
    <xf numFmtId="10" fontId="16" fillId="6" borderId="9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5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2" borderId="91" xfId="0" applyFont="1" applyFill="1" applyBorder="1" applyAlignment="1">
      <alignment horizontal="center" vertical="center"/>
    </xf>
    <xf numFmtId="0" fontId="16" fillId="2" borderId="91" xfId="0" applyFont="1" applyFill="1" applyBorder="1" applyAlignment="1">
      <alignment vertical="center"/>
    </xf>
    <xf numFmtId="168" fontId="16" fillId="0" borderId="91" xfId="0" applyNumberFormat="1" applyFont="1" applyBorder="1" applyAlignment="1">
      <alignment horizontal="right" vertical="center"/>
    </xf>
    <xf numFmtId="10" fontId="16" fillId="0" borderId="91" xfId="0" applyNumberFormat="1" applyFont="1" applyBorder="1" applyAlignment="1">
      <alignment horizontal="center" vertical="center"/>
    </xf>
    <xf numFmtId="0" fontId="18" fillId="2" borderId="71" xfId="0" applyFont="1" applyFill="1" applyBorder="1" applyAlignment="1">
      <alignment horizontal="center" vertical="center"/>
    </xf>
    <xf numFmtId="0" fontId="18" fillId="2" borderId="71" xfId="0" applyFont="1" applyFill="1" applyBorder="1" applyAlignment="1">
      <alignment vertical="center"/>
    </xf>
    <xf numFmtId="168" fontId="17" fillId="0" borderId="71" xfId="0" applyNumberFormat="1" applyFont="1" applyBorder="1" applyAlignment="1">
      <alignment horizontal="right" vertical="center"/>
    </xf>
    <xf numFmtId="0" fontId="16" fillId="2" borderId="71" xfId="0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left" vertical="center"/>
    </xf>
    <xf numFmtId="168" fontId="16" fillId="0" borderId="71" xfId="0" applyNumberFormat="1" applyFont="1" applyBorder="1" applyAlignment="1">
      <alignment horizontal="right" vertical="center"/>
    </xf>
    <xf numFmtId="0" fontId="18" fillId="2" borderId="92" xfId="0" applyFont="1" applyFill="1" applyBorder="1" applyAlignment="1">
      <alignment horizontal="center" vertical="center"/>
    </xf>
    <xf numFmtId="0" fontId="18" fillId="2" borderId="92" xfId="0" applyFont="1" applyFill="1" applyBorder="1" applyAlignment="1">
      <alignment vertical="center"/>
    </xf>
    <xf numFmtId="168" fontId="17" fillId="0" borderId="92" xfId="0" applyNumberFormat="1" applyFont="1" applyBorder="1" applyAlignment="1">
      <alignment horizontal="right" vertical="center"/>
    </xf>
    <xf numFmtId="10" fontId="17" fillId="0" borderId="92" xfId="0" applyNumberFormat="1" applyFont="1" applyBorder="1" applyAlignment="1">
      <alignment horizontal="center" vertical="center"/>
    </xf>
    <xf numFmtId="0" fontId="13" fillId="6" borderId="98" xfId="0" applyFont="1" applyFill="1" applyBorder="1" applyAlignment="1">
      <alignment horizontal="center" vertical="center"/>
    </xf>
    <xf numFmtId="0" fontId="16" fillId="6" borderId="98" xfId="0" applyFont="1" applyFill="1" applyBorder="1" applyAlignment="1">
      <alignment vertical="center"/>
    </xf>
    <xf numFmtId="168" fontId="16" fillId="6" borderId="98" xfId="5" applyNumberFormat="1" applyFont="1" applyFill="1" applyBorder="1" applyAlignment="1">
      <alignment horizontal="right" vertical="center"/>
    </xf>
    <xf numFmtId="10" fontId="16" fillId="6" borderId="98" xfId="0" applyNumberFormat="1" applyFont="1" applyFill="1" applyBorder="1" applyAlignment="1">
      <alignment horizontal="center" vertical="center"/>
    </xf>
    <xf numFmtId="49" fontId="36" fillId="0" borderId="0" xfId="0" applyNumberFormat="1" applyFont="1"/>
    <xf numFmtId="0" fontId="66" fillId="0" borderId="0" xfId="0" applyFont="1" applyAlignment="1">
      <alignment horizontal="center"/>
    </xf>
    <xf numFmtId="0" fontId="61" fillId="0" borderId="14" xfId="0" applyFont="1" applyBorder="1" applyAlignment="1">
      <alignment horizontal="center" vertical="center" wrapText="1"/>
    </xf>
    <xf numFmtId="4" fontId="21" fillId="2" borderId="0" xfId="0" applyNumberFormat="1" applyFont="1" applyFill="1" applyAlignment="1">
      <alignment horizontal="center" vertical="center"/>
    </xf>
    <xf numFmtId="3" fontId="19" fillId="2" borderId="0" xfId="0" applyNumberFormat="1" applyFont="1" applyFill="1"/>
    <xf numFmtId="3" fontId="21" fillId="2" borderId="0" xfId="0" applyNumberFormat="1" applyFont="1" applyFill="1" applyAlignment="1">
      <alignment horizontal="center" vertical="center"/>
    </xf>
    <xf numFmtId="4" fontId="67" fillId="2" borderId="0" xfId="0" applyNumberFormat="1" applyFont="1" applyFill="1" applyAlignment="1">
      <alignment vertical="center"/>
    </xf>
    <xf numFmtId="4" fontId="21" fillId="2" borderId="48" xfId="0" applyNumberFormat="1" applyFont="1" applyFill="1" applyBorder="1" applyAlignment="1">
      <alignment horizontal="center" vertical="center"/>
    </xf>
    <xf numFmtId="0" fontId="68" fillId="0" borderId="0" xfId="0" applyFont="1"/>
    <xf numFmtId="0" fontId="69" fillId="0" borderId="0" xfId="0" applyFont="1"/>
    <xf numFmtId="0" fontId="69" fillId="2" borderId="79" xfId="0" applyFont="1" applyFill="1" applyBorder="1" applyAlignment="1">
      <alignment horizontal="left" vertical="center"/>
    </xf>
    <xf numFmtId="10" fontId="69" fillId="2" borderId="79" xfId="10" applyNumberFormat="1" applyFont="1" applyFill="1" applyBorder="1" applyAlignment="1">
      <alignment horizontal="center" vertical="center"/>
    </xf>
    <xf numFmtId="0" fontId="69" fillId="2" borderId="71" xfId="0" applyFont="1" applyFill="1" applyBorder="1" applyAlignment="1">
      <alignment horizontal="left" vertical="center"/>
    </xf>
    <xf numFmtId="10" fontId="69" fillId="2" borderId="71" xfId="10" applyNumberFormat="1" applyFont="1" applyFill="1" applyBorder="1" applyAlignment="1">
      <alignment horizontal="center" vertical="center"/>
    </xf>
    <xf numFmtId="0" fontId="69" fillId="2" borderId="97" xfId="0" applyFont="1" applyFill="1" applyBorder="1" applyAlignment="1">
      <alignment horizontal="left" vertical="center"/>
    </xf>
    <xf numFmtId="10" fontId="69" fillId="2" borderId="97" xfId="1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justify" vertical="center"/>
    </xf>
    <xf numFmtId="4" fontId="69" fillId="0" borderId="0" xfId="0" applyNumberFormat="1" applyFont="1"/>
    <xf numFmtId="0" fontId="71" fillId="0" borderId="0" xfId="0" applyFont="1" applyAlignment="1">
      <alignment horizontal="justify" vertical="center"/>
    </xf>
    <xf numFmtId="0" fontId="70" fillId="0" borderId="0" xfId="0" applyFont="1" applyAlignment="1">
      <alignment horizontal="justify" vertical="center"/>
    </xf>
    <xf numFmtId="4" fontId="68" fillId="0" borderId="0" xfId="0" applyNumberFormat="1" applyFont="1"/>
    <xf numFmtId="0" fontId="73" fillId="5" borderId="91" xfId="0" applyFont="1" applyFill="1" applyBorder="1" applyAlignment="1">
      <alignment vertical="center"/>
    </xf>
    <xf numFmtId="0" fontId="74" fillId="0" borderId="91" xfId="0" applyFont="1" applyBorder="1" applyAlignment="1">
      <alignment vertical="center"/>
    </xf>
    <xf numFmtId="4" fontId="73" fillId="5" borderId="91" xfId="0" applyNumberFormat="1" applyFont="1" applyFill="1" applyBorder="1" applyAlignment="1">
      <alignment horizontal="right" vertical="center"/>
    </xf>
    <xf numFmtId="10" fontId="74" fillId="0" borderId="91" xfId="0" applyNumberFormat="1" applyFont="1" applyBorder="1" applyAlignment="1">
      <alignment horizontal="center" vertical="center"/>
    </xf>
    <xf numFmtId="0" fontId="73" fillId="5" borderId="71" xfId="0" applyFont="1" applyFill="1" applyBorder="1" applyAlignment="1">
      <alignment vertical="center"/>
    </xf>
    <xf numFmtId="0" fontId="74" fillId="0" borderId="71" xfId="0" applyFont="1" applyBorder="1" applyAlignment="1">
      <alignment vertical="center"/>
    </xf>
    <xf numFmtId="4" fontId="73" fillId="5" borderId="71" xfId="0" applyNumberFormat="1" applyFont="1" applyFill="1" applyBorder="1" applyAlignment="1">
      <alignment horizontal="right" vertical="center"/>
    </xf>
    <xf numFmtId="10" fontId="74" fillId="0" borderId="71" xfId="0" applyNumberFormat="1" applyFont="1" applyBorder="1" applyAlignment="1">
      <alignment horizontal="center" vertical="center"/>
    </xf>
    <xf numFmtId="0" fontId="73" fillId="5" borderId="92" xfId="0" applyFont="1" applyFill="1" applyBorder="1" applyAlignment="1">
      <alignment vertical="center"/>
    </xf>
    <xf numFmtId="0" fontId="74" fillId="0" borderId="92" xfId="0" applyFont="1" applyBorder="1" applyAlignment="1">
      <alignment vertical="center"/>
    </xf>
    <xf numFmtId="4" fontId="73" fillId="5" borderId="92" xfId="0" applyNumberFormat="1" applyFont="1" applyFill="1" applyBorder="1" applyAlignment="1">
      <alignment horizontal="right" vertical="center"/>
    </xf>
    <xf numFmtId="4" fontId="13" fillId="7" borderId="41" xfId="3" applyNumberFormat="1" applyFont="1" applyFill="1" applyBorder="1" applyAlignment="1">
      <alignment horizontal="center" vertical="center" wrapText="1"/>
    </xf>
    <xf numFmtId="4" fontId="11" fillId="7" borderId="11" xfId="3" applyNumberFormat="1" applyFont="1" applyFill="1" applyBorder="1" applyAlignment="1">
      <alignment horizontal="center" vertical="center"/>
    </xf>
    <xf numFmtId="4" fontId="11" fillId="7" borderId="11" xfId="3" applyNumberFormat="1" applyFont="1" applyFill="1" applyBorder="1" applyAlignment="1">
      <alignment horizontal="center" vertical="center" wrapText="1"/>
    </xf>
    <xf numFmtId="4" fontId="13" fillId="7" borderId="47" xfId="3" applyNumberFormat="1" applyFont="1" applyFill="1" applyBorder="1" applyAlignment="1">
      <alignment horizontal="center" vertical="center" wrapText="1"/>
    </xf>
    <xf numFmtId="164" fontId="21" fillId="7" borderId="42" xfId="5" applyFont="1" applyFill="1" applyBorder="1" applyAlignment="1">
      <alignment vertical="center"/>
    </xf>
    <xf numFmtId="164" fontId="21" fillId="7" borderId="21" xfId="5" applyFont="1" applyFill="1" applyBorder="1" applyAlignment="1">
      <alignment vertical="center"/>
    </xf>
    <xf numFmtId="164" fontId="21" fillId="7" borderId="21" xfId="5" applyFont="1" applyFill="1" applyBorder="1" applyAlignment="1">
      <alignment vertical="center" wrapText="1"/>
    </xf>
    <xf numFmtId="164" fontId="21" fillId="7" borderId="31" xfId="5" applyFont="1" applyFill="1" applyBorder="1" applyAlignment="1">
      <alignment vertical="center" wrapText="1"/>
    </xf>
    <xf numFmtId="164" fontId="21" fillId="7" borderId="82" xfId="5" applyFont="1" applyFill="1" applyBorder="1" applyAlignment="1">
      <alignment vertical="center" wrapText="1"/>
    </xf>
    <xf numFmtId="10" fontId="21" fillId="7" borderId="51" xfId="0" applyNumberFormat="1" applyFont="1" applyFill="1" applyBorder="1" applyAlignment="1">
      <alignment horizontal="center" vertical="center"/>
    </xf>
    <xf numFmtId="164" fontId="21" fillId="7" borderId="80" xfId="5" applyFont="1" applyFill="1" applyBorder="1" applyAlignment="1">
      <alignment vertical="center" wrapText="1"/>
    </xf>
    <xf numFmtId="3" fontId="21" fillId="7" borderId="11" xfId="3" applyNumberFormat="1" applyFont="1" applyFill="1" applyBorder="1" applyAlignment="1">
      <alignment horizontal="center" vertical="center" wrapText="1"/>
    </xf>
    <xf numFmtId="49" fontId="75" fillId="8" borderId="15" xfId="0" applyNumberFormat="1" applyFont="1" applyFill="1" applyBorder="1" applyAlignment="1">
      <alignment horizontal="center" vertical="center"/>
    </xf>
    <xf numFmtId="0" fontId="75" fillId="8" borderId="8" xfId="0" applyFont="1" applyFill="1" applyBorder="1" applyAlignment="1">
      <alignment vertical="center"/>
    </xf>
    <xf numFmtId="4" fontId="75" fillId="8" borderId="8" xfId="0" applyNumberFormat="1" applyFont="1" applyFill="1" applyBorder="1" applyAlignment="1">
      <alignment horizontal="right" vertical="center"/>
    </xf>
    <xf numFmtId="49" fontId="76" fillId="8" borderId="15" xfId="0" applyNumberFormat="1" applyFont="1" applyFill="1" applyBorder="1" applyAlignment="1">
      <alignment horizontal="center" vertical="center"/>
    </xf>
    <xf numFmtId="0" fontId="76" fillId="8" borderId="8" xfId="0" applyFont="1" applyFill="1" applyBorder="1" applyAlignment="1">
      <alignment horizontal="left" vertical="center" wrapText="1"/>
    </xf>
    <xf numFmtId="4" fontId="76" fillId="9" borderId="8" xfId="0" applyNumberFormat="1" applyFont="1" applyFill="1" applyBorder="1" applyAlignment="1">
      <alignment horizontal="right" vertical="center"/>
    </xf>
    <xf numFmtId="0" fontId="76" fillId="8" borderId="8" xfId="0" applyFont="1" applyFill="1" applyBorder="1" applyAlignment="1">
      <alignment horizontal="left" vertical="center"/>
    </xf>
    <xf numFmtId="49" fontId="23" fillId="2" borderId="15" xfId="0" applyNumberFormat="1" applyFont="1" applyFill="1" applyBorder="1" applyAlignment="1">
      <alignment horizontal="center"/>
    </xf>
    <xf numFmtId="4" fontId="0" fillId="2" borderId="8" xfId="0" applyNumberFormat="1" applyFill="1" applyBorder="1"/>
    <xf numFmtId="0" fontId="75" fillId="8" borderId="15" xfId="0" applyFont="1" applyFill="1" applyBorder="1" applyAlignment="1">
      <alignment vertical="center"/>
    </xf>
    <xf numFmtId="0" fontId="75" fillId="8" borderId="15" xfId="0" applyFont="1" applyFill="1" applyBorder="1" applyAlignment="1">
      <alignment horizontal="center" vertical="center"/>
    </xf>
    <xf numFmtId="4" fontId="23" fillId="2" borderId="8" xfId="0" applyNumberFormat="1" applyFont="1" applyFill="1" applyBorder="1"/>
    <xf numFmtId="0" fontId="23" fillId="0" borderId="66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44" fillId="0" borderId="66" xfId="0" applyFont="1" applyBorder="1" applyAlignment="1">
      <alignment horizontal="center" vertical="center"/>
    </xf>
    <xf numFmtId="0" fontId="23" fillId="7" borderId="66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49" fontId="75" fillId="10" borderId="15" xfId="0" applyNumberFormat="1" applyFont="1" applyFill="1" applyBorder="1" applyAlignment="1">
      <alignment horizontal="center" vertical="center"/>
    </xf>
    <xf numFmtId="4" fontId="75" fillId="10" borderId="8" xfId="0" applyNumberFormat="1" applyFont="1" applyFill="1" applyBorder="1" applyAlignment="1">
      <alignment horizontal="right" vertical="center"/>
    </xf>
    <xf numFmtId="4" fontId="23" fillId="7" borderId="8" xfId="0" applyNumberFormat="1" applyFont="1" applyFill="1" applyBorder="1" applyAlignment="1">
      <alignment vertical="center"/>
    </xf>
    <xf numFmtId="0" fontId="0" fillId="2" borderId="66" xfId="0" applyFill="1" applyBorder="1" applyAlignment="1">
      <alignment horizontal="center" vertical="center"/>
    </xf>
    <xf numFmtId="0" fontId="44" fillId="7" borderId="66" xfId="0" applyFont="1" applyFill="1" applyBorder="1" applyAlignment="1">
      <alignment horizontal="center" vertical="center"/>
    </xf>
    <xf numFmtId="49" fontId="23" fillId="7" borderId="15" xfId="0" applyNumberFormat="1" applyFont="1" applyFill="1" applyBorder="1" applyAlignment="1">
      <alignment horizontal="center"/>
    </xf>
    <xf numFmtId="0" fontId="11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4" fontId="11" fillId="8" borderId="0" xfId="0" applyNumberFormat="1" applyFont="1" applyFill="1" applyAlignment="1">
      <alignment horizontal="right" vertical="center"/>
    </xf>
    <xf numFmtId="0" fontId="23" fillId="2" borderId="66" xfId="0" applyFont="1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3" fontId="13" fillId="7" borderId="11" xfId="3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/>
    </xf>
    <xf numFmtId="4" fontId="75" fillId="8" borderId="9" xfId="0" applyNumberFormat="1" applyFont="1" applyFill="1" applyBorder="1" applyAlignment="1">
      <alignment horizontal="right" vertical="center"/>
    </xf>
    <xf numFmtId="4" fontId="76" fillId="9" borderId="9" xfId="0" applyNumberFormat="1" applyFont="1" applyFill="1" applyBorder="1" applyAlignment="1">
      <alignment horizontal="right" vertical="center"/>
    </xf>
    <xf numFmtId="4" fontId="75" fillId="9" borderId="9" xfId="0" applyNumberFormat="1" applyFont="1" applyFill="1" applyBorder="1" applyAlignment="1">
      <alignment horizontal="right" vertical="center"/>
    </xf>
    <xf numFmtId="0" fontId="23" fillId="2" borderId="81" xfId="0" applyFont="1" applyFill="1" applyBorder="1" applyAlignment="1">
      <alignment horizontal="center" vertical="center"/>
    </xf>
    <xf numFmtId="0" fontId="75" fillId="8" borderId="16" xfId="0" applyFont="1" applyFill="1" applyBorder="1" applyAlignment="1">
      <alignment vertical="center"/>
    </xf>
    <xf numFmtId="0" fontId="75" fillId="8" borderId="17" xfId="0" applyFont="1" applyFill="1" applyBorder="1" applyAlignment="1">
      <alignment vertical="center"/>
    </xf>
    <xf numFmtId="4" fontId="75" fillId="8" borderId="17" xfId="0" applyNumberFormat="1" applyFont="1" applyFill="1" applyBorder="1" applyAlignment="1">
      <alignment horizontal="right" vertical="center"/>
    </xf>
    <xf numFmtId="0" fontId="6" fillId="7" borderId="73" xfId="0" applyFont="1" applyFill="1" applyBorder="1" applyAlignment="1">
      <alignment horizontal="center" vertical="center"/>
    </xf>
    <xf numFmtId="0" fontId="11" fillId="10" borderId="42" xfId="0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vertical="center"/>
    </xf>
    <xf numFmtId="4" fontId="11" fillId="10" borderId="21" xfId="0" applyNumberFormat="1" applyFont="1" applyFill="1" applyBorder="1" applyAlignment="1">
      <alignment horizontal="right" vertical="center"/>
    </xf>
    <xf numFmtId="4" fontId="12" fillId="9" borderId="8" xfId="0" applyNumberFormat="1" applyFont="1" applyFill="1" applyBorder="1" applyAlignment="1">
      <alignment horizontal="right" vertical="center"/>
    </xf>
    <xf numFmtId="10" fontId="11" fillId="7" borderId="43" xfId="0" applyNumberFormat="1" applyFont="1" applyFill="1" applyBorder="1" applyAlignment="1">
      <alignment horizontal="center" vertical="center"/>
    </xf>
    <xf numFmtId="10" fontId="11" fillId="2" borderId="0" xfId="0" applyNumberFormat="1" applyFont="1" applyFill="1" applyAlignment="1">
      <alignment horizontal="center" vertical="center"/>
    </xf>
    <xf numFmtId="10" fontId="11" fillId="2" borderId="20" xfId="3" applyNumberFormat="1" applyFont="1" applyFill="1" applyBorder="1" applyAlignment="1">
      <alignment horizontal="center" vertical="center" wrapText="1"/>
    </xf>
    <xf numFmtId="10" fontId="23" fillId="7" borderId="9" xfId="0" applyNumberFormat="1" applyFont="1" applyFill="1" applyBorder="1" applyAlignment="1">
      <alignment horizontal="center" vertical="center"/>
    </xf>
    <xf numFmtId="10" fontId="23" fillId="2" borderId="9" xfId="0" applyNumberFormat="1" applyFont="1" applyFill="1" applyBorder="1" applyAlignment="1">
      <alignment horizontal="center" vertical="center"/>
    </xf>
    <xf numFmtId="10" fontId="1" fillId="2" borderId="9" xfId="0" applyNumberFormat="1" applyFont="1" applyFill="1" applyBorder="1" applyAlignment="1">
      <alignment horizontal="center" vertical="center"/>
    </xf>
    <xf numFmtId="10" fontId="1" fillId="2" borderId="22" xfId="0" applyNumberFormat="1" applyFont="1" applyFill="1" applyBorder="1" applyAlignment="1">
      <alignment horizontal="center" vertical="center"/>
    </xf>
    <xf numFmtId="0" fontId="1" fillId="7" borderId="66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164" fontId="11" fillId="2" borderId="0" xfId="0" applyNumberFormat="1" applyFont="1" applyFill="1" applyAlignment="1">
      <alignment vertical="center"/>
    </xf>
    <xf numFmtId="4" fontId="1" fillId="2" borderId="0" xfId="5" applyNumberFormat="1" applyFont="1" applyFill="1"/>
    <xf numFmtId="0" fontId="11" fillId="2" borderId="0" xfId="0" applyFont="1" applyFill="1" applyAlignment="1">
      <alignment vertical="center" wrapText="1"/>
    </xf>
    <xf numFmtId="0" fontId="12" fillId="2" borderId="6" xfId="0" applyFont="1" applyFill="1" applyBorder="1"/>
    <xf numFmtId="0" fontId="12" fillId="2" borderId="6" xfId="0" applyFont="1" applyFill="1" applyBorder="1" applyAlignment="1">
      <alignment wrapText="1"/>
    </xf>
    <xf numFmtId="4" fontId="12" fillId="2" borderId="6" xfId="0" applyNumberFormat="1" applyFont="1" applyFill="1" applyBorder="1"/>
    <xf numFmtId="3" fontId="12" fillId="2" borderId="6" xfId="0" applyNumberFormat="1" applyFont="1" applyFill="1" applyBorder="1"/>
    <xf numFmtId="4" fontId="12" fillId="2" borderId="6" xfId="5" applyNumberFormat="1" applyFont="1" applyFill="1" applyBorder="1"/>
    <xf numFmtId="4" fontId="1" fillId="2" borderId="6" xfId="5" applyNumberFormat="1" applyFont="1" applyFill="1" applyBorder="1"/>
    <xf numFmtId="10" fontId="12" fillId="2" borderId="6" xfId="0" applyNumberFormat="1" applyFont="1" applyFill="1" applyBorder="1" applyAlignment="1">
      <alignment horizontal="center"/>
    </xf>
    <xf numFmtId="3" fontId="11" fillId="7" borderId="11" xfId="3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4" fontId="23" fillId="2" borderId="18" xfId="0" applyNumberFormat="1" applyFont="1" applyFill="1" applyBorder="1" applyAlignment="1">
      <alignment horizontal="center" vertical="center" wrapText="1"/>
    </xf>
    <xf numFmtId="3" fontId="11" fillId="2" borderId="18" xfId="3" applyNumberFormat="1" applyFont="1" applyFill="1" applyBorder="1" applyAlignment="1">
      <alignment horizontal="center" vertical="center" wrapText="1"/>
    </xf>
    <xf numFmtId="4" fontId="11" fillId="2" borderId="27" xfId="5" applyNumberFormat="1" applyFont="1" applyFill="1" applyBorder="1" applyAlignment="1">
      <alignment horizontal="center" vertical="center" wrapText="1"/>
    </xf>
    <xf numFmtId="4" fontId="11" fillId="2" borderId="18" xfId="3" applyNumberFormat="1" applyFont="1" applyFill="1" applyBorder="1" applyAlignment="1">
      <alignment horizontal="center" vertical="center" wrapText="1"/>
    </xf>
    <xf numFmtId="4" fontId="11" fillId="2" borderId="36" xfId="3" applyNumberFormat="1" applyFont="1" applyFill="1" applyBorder="1" applyAlignment="1">
      <alignment horizontal="center" vertical="center" wrapText="1"/>
    </xf>
    <xf numFmtId="10" fontId="11" fillId="2" borderId="24" xfId="3" applyNumberFormat="1" applyFont="1" applyFill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4" fontId="12" fillId="2" borderId="8" xfId="0" applyNumberFormat="1" applyFont="1" applyFill="1" applyBorder="1"/>
    <xf numFmtId="0" fontId="11" fillId="7" borderId="66" xfId="0" applyFont="1" applyFill="1" applyBorder="1" applyAlignment="1">
      <alignment horizontal="center" vertical="center"/>
    </xf>
    <xf numFmtId="0" fontId="11" fillId="2" borderId="81" xfId="0" applyFont="1" applyFill="1" applyBorder="1" applyAlignment="1">
      <alignment horizontal="center" vertical="center"/>
    </xf>
    <xf numFmtId="0" fontId="12" fillId="0" borderId="66" xfId="0" applyFont="1" applyBorder="1" applyAlignment="1">
      <alignment vertical="center"/>
    </xf>
    <xf numFmtId="0" fontId="11" fillId="7" borderId="73" xfId="0" applyFont="1" applyFill="1" applyBorder="1" applyAlignment="1">
      <alignment horizontal="center" vertical="center"/>
    </xf>
    <xf numFmtId="4" fontId="11" fillId="7" borderId="2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4" fontId="75" fillId="10" borderId="29" xfId="0" applyNumberFormat="1" applyFont="1" applyFill="1" applyBorder="1" applyAlignment="1">
      <alignment horizontal="right" vertical="center"/>
    </xf>
    <xf numFmtId="4" fontId="75" fillId="8" borderId="29" xfId="0" applyNumberFormat="1" applyFont="1" applyFill="1" applyBorder="1" applyAlignment="1">
      <alignment horizontal="right" vertical="center"/>
    </xf>
    <xf numFmtId="4" fontId="76" fillId="9" borderId="29" xfId="0" applyNumberFormat="1" applyFont="1" applyFill="1" applyBorder="1" applyAlignment="1">
      <alignment horizontal="right" vertical="center"/>
    </xf>
    <xf numFmtId="4" fontId="0" fillId="2" borderId="29" xfId="0" applyNumberFormat="1" applyFill="1" applyBorder="1"/>
    <xf numFmtId="4" fontId="23" fillId="7" borderId="29" xfId="0" applyNumberFormat="1" applyFont="1" applyFill="1" applyBorder="1" applyAlignment="1">
      <alignment vertical="center"/>
    </xf>
    <xf numFmtId="4" fontId="23" fillId="2" borderId="29" xfId="0" applyNumberFormat="1" applyFont="1" applyFill="1" applyBorder="1"/>
    <xf numFmtId="4" fontId="75" fillId="8" borderId="30" xfId="0" applyNumberFormat="1" applyFont="1" applyFill="1" applyBorder="1" applyAlignment="1">
      <alignment horizontal="right" vertical="center"/>
    </xf>
    <xf numFmtId="4" fontId="11" fillId="10" borderId="31" xfId="0" applyNumberFormat="1" applyFont="1" applyFill="1" applyBorder="1" applyAlignment="1">
      <alignment horizontal="right" vertical="center"/>
    </xf>
    <xf numFmtId="4" fontId="75" fillId="10" borderId="37" xfId="0" applyNumberFormat="1" applyFont="1" applyFill="1" applyBorder="1" applyAlignment="1">
      <alignment horizontal="right" vertical="center"/>
    </xf>
    <xf numFmtId="4" fontId="75" fillId="8" borderId="37" xfId="0" applyNumberFormat="1" applyFont="1" applyFill="1" applyBorder="1" applyAlignment="1">
      <alignment horizontal="right" vertical="center"/>
    </xf>
    <xf numFmtId="4" fontId="76" fillId="9" borderId="37" xfId="0" applyNumberFormat="1" applyFont="1" applyFill="1" applyBorder="1" applyAlignment="1">
      <alignment horizontal="right" vertical="center"/>
    </xf>
    <xf numFmtId="4" fontId="0" fillId="2" borderId="37" xfId="0" applyNumberFormat="1" applyFill="1" applyBorder="1"/>
    <xf numFmtId="4" fontId="23" fillId="7" borderId="37" xfId="0" applyNumberFormat="1" applyFont="1" applyFill="1" applyBorder="1" applyAlignment="1">
      <alignment vertical="center"/>
    </xf>
    <xf numFmtId="4" fontId="23" fillId="2" borderId="37" xfId="0" applyNumberFormat="1" applyFont="1" applyFill="1" applyBorder="1"/>
    <xf numFmtId="4" fontId="75" fillId="8" borderId="55" xfId="0" applyNumberFormat="1" applyFont="1" applyFill="1" applyBorder="1" applyAlignment="1">
      <alignment horizontal="right" vertical="center"/>
    </xf>
    <xf numFmtId="4" fontId="11" fillId="10" borderId="101" xfId="0" applyNumberFormat="1" applyFont="1" applyFill="1" applyBorder="1" applyAlignment="1">
      <alignment horizontal="right" vertical="center"/>
    </xf>
    <xf numFmtId="4" fontId="75" fillId="10" borderId="40" xfId="0" applyNumberFormat="1" applyFont="1" applyFill="1" applyBorder="1" applyAlignment="1">
      <alignment horizontal="right" vertical="center"/>
    </xf>
    <xf numFmtId="4" fontId="75" fillId="10" borderId="48" xfId="0" applyNumberFormat="1" applyFont="1" applyFill="1" applyBorder="1" applyAlignment="1">
      <alignment horizontal="right" vertical="center"/>
    </xf>
    <xf numFmtId="4" fontId="75" fillId="8" borderId="40" xfId="0" applyNumberFormat="1" applyFont="1" applyFill="1" applyBorder="1" applyAlignment="1">
      <alignment horizontal="right" vertical="center"/>
    </xf>
    <xf numFmtId="4" fontId="75" fillId="8" borderId="48" xfId="0" applyNumberFormat="1" applyFont="1" applyFill="1" applyBorder="1" applyAlignment="1">
      <alignment horizontal="right" vertical="center"/>
    </xf>
    <xf numFmtId="4" fontId="76" fillId="9" borderId="40" xfId="0" applyNumberFormat="1" applyFont="1" applyFill="1" applyBorder="1" applyAlignment="1">
      <alignment horizontal="right" vertical="center"/>
    </xf>
    <xf numFmtId="4" fontId="76" fillId="9" borderId="48" xfId="0" applyNumberFormat="1" applyFont="1" applyFill="1" applyBorder="1" applyAlignment="1">
      <alignment horizontal="right" vertical="center"/>
    </xf>
    <xf numFmtId="4" fontId="0" fillId="2" borderId="40" xfId="0" applyNumberFormat="1" applyFill="1" applyBorder="1"/>
    <xf numFmtId="4" fontId="0" fillId="2" borderId="48" xfId="0" applyNumberFormat="1" applyFill="1" applyBorder="1"/>
    <xf numFmtId="4" fontId="23" fillId="7" borderId="40" xfId="0" applyNumberFormat="1" applyFont="1" applyFill="1" applyBorder="1" applyAlignment="1">
      <alignment vertical="center"/>
    </xf>
    <xf numFmtId="4" fontId="23" fillId="7" borderId="48" xfId="0" applyNumberFormat="1" applyFont="1" applyFill="1" applyBorder="1" applyAlignment="1">
      <alignment vertical="center"/>
    </xf>
    <xf numFmtId="4" fontId="75" fillId="8" borderId="49" xfId="0" applyNumberFormat="1" applyFont="1" applyFill="1" applyBorder="1" applyAlignment="1">
      <alignment horizontal="right" vertical="center"/>
    </xf>
    <xf numFmtId="4" fontId="75" fillId="8" borderId="50" xfId="0" applyNumberFormat="1" applyFont="1" applyFill="1" applyBorder="1" applyAlignment="1">
      <alignment horizontal="right" vertical="center"/>
    </xf>
    <xf numFmtId="4" fontId="11" fillId="10" borderId="82" xfId="0" applyNumberFormat="1" applyFont="1" applyFill="1" applyBorder="1" applyAlignment="1">
      <alignment horizontal="right" vertical="center"/>
    </xf>
    <xf numFmtId="0" fontId="16" fillId="7" borderId="15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3" fontId="11" fillId="2" borderId="14" xfId="3" applyNumberFormat="1" applyFont="1" applyFill="1" applyBorder="1" applyAlignment="1">
      <alignment horizontal="center" vertical="center" wrapText="1"/>
    </xf>
    <xf numFmtId="4" fontId="11" fillId="2" borderId="14" xfId="3" applyNumberFormat="1" applyFont="1" applyFill="1" applyBorder="1" applyAlignment="1">
      <alignment horizontal="center" vertical="center" wrapText="1"/>
    </xf>
    <xf numFmtId="4" fontId="11" fillId="2" borderId="33" xfId="5" applyNumberFormat="1" applyFont="1" applyFill="1" applyBorder="1" applyAlignment="1">
      <alignment horizontal="center" vertical="center" wrapText="1"/>
    </xf>
    <xf numFmtId="4" fontId="11" fillId="2" borderId="75" xfId="3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/>
    <xf numFmtId="4" fontId="12" fillId="2" borderId="29" xfId="0" applyNumberFormat="1" applyFont="1" applyFill="1" applyBorder="1"/>
    <xf numFmtId="4" fontId="12" fillId="2" borderId="37" xfId="0" applyNumberFormat="1" applyFont="1" applyFill="1" applyBorder="1"/>
    <xf numFmtId="0" fontId="12" fillId="7" borderId="7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" fontId="75" fillId="10" borderId="9" xfId="0" applyNumberFormat="1" applyFont="1" applyFill="1" applyBorder="1" applyAlignment="1">
      <alignment horizontal="right" vertical="center"/>
    </xf>
    <xf numFmtId="4" fontId="23" fillId="7" borderId="9" xfId="0" applyNumberFormat="1" applyFont="1" applyFill="1" applyBorder="1" applyAlignment="1">
      <alignment vertical="center"/>
    </xf>
    <xf numFmtId="3" fontId="13" fillId="11" borderId="11" xfId="3" applyNumberFormat="1" applyFont="1" applyFill="1" applyBorder="1" applyAlignment="1">
      <alignment horizontal="center" vertical="center" wrapText="1"/>
    </xf>
    <xf numFmtId="4" fontId="16" fillId="11" borderId="11" xfId="0" applyNumberFormat="1" applyFont="1" applyFill="1" applyBorder="1" applyAlignment="1">
      <alignment horizontal="center" vertical="center" wrapText="1"/>
    </xf>
    <xf numFmtId="4" fontId="11" fillId="7" borderId="31" xfId="0" applyNumberFormat="1" applyFont="1" applyFill="1" applyBorder="1" applyAlignment="1">
      <alignment vertical="center"/>
    </xf>
    <xf numFmtId="4" fontId="11" fillId="7" borderId="101" xfId="0" applyNumberFormat="1" applyFont="1" applyFill="1" applyBorder="1" applyAlignment="1">
      <alignment vertical="center"/>
    </xf>
    <xf numFmtId="4" fontId="75" fillId="9" borderId="37" xfId="0" applyNumberFormat="1" applyFont="1" applyFill="1" applyBorder="1" applyAlignment="1">
      <alignment horizontal="right" vertical="center"/>
    </xf>
    <xf numFmtId="0" fontId="56" fillId="7" borderId="53" xfId="0" applyFont="1" applyFill="1" applyBorder="1" applyAlignment="1" applyProtection="1">
      <alignment horizontal="left" vertical="center"/>
      <protection locked="0"/>
    </xf>
    <xf numFmtId="0" fontId="21" fillId="11" borderId="85" xfId="0" applyFont="1" applyFill="1" applyBorder="1" applyAlignment="1" applyProtection="1">
      <alignment horizontal="left" vertical="center"/>
      <protection locked="0"/>
    </xf>
    <xf numFmtId="0" fontId="21" fillId="11" borderId="86" xfId="0" applyFont="1" applyFill="1" applyBorder="1" applyAlignment="1" applyProtection="1">
      <alignment horizontal="left" vertical="center"/>
      <protection locked="0"/>
    </xf>
    <xf numFmtId="0" fontId="11" fillId="7" borderId="0" xfId="0" applyFont="1" applyFill="1" applyAlignment="1">
      <alignment vertical="center"/>
    </xf>
    <xf numFmtId="2" fontId="23" fillId="11" borderId="42" xfId="0" applyNumberFormat="1" applyFont="1" applyFill="1" applyBorder="1" applyAlignment="1">
      <alignment vertical="center"/>
    </xf>
    <xf numFmtId="2" fontId="23" fillId="11" borderId="21" xfId="0" applyNumberFormat="1" applyFont="1" applyFill="1" applyBorder="1" applyAlignment="1">
      <alignment vertical="center"/>
    </xf>
    <xf numFmtId="4" fontId="23" fillId="11" borderId="21" xfId="0" applyNumberFormat="1" applyFont="1" applyFill="1" applyBorder="1" applyAlignment="1">
      <alignment vertical="center"/>
    </xf>
    <xf numFmtId="2" fontId="23" fillId="11" borderId="31" xfId="0" applyNumberFormat="1" applyFont="1" applyFill="1" applyBorder="1" applyAlignment="1">
      <alignment vertical="center"/>
    </xf>
    <xf numFmtId="4" fontId="23" fillId="11" borderId="43" xfId="0" applyNumberFormat="1" applyFont="1" applyFill="1" applyBorder="1" applyAlignment="1">
      <alignment horizontal="right" vertical="center"/>
    </xf>
    <xf numFmtId="2" fontId="23" fillId="11" borderId="15" xfId="0" applyNumberFormat="1" applyFont="1" applyFill="1" applyBorder="1" applyAlignment="1">
      <alignment horizontal="center" vertical="center" wrapText="1"/>
    </xf>
    <xf numFmtId="2" fontId="23" fillId="11" borderId="8" xfId="0" applyNumberFormat="1" applyFont="1" applyFill="1" applyBorder="1" applyAlignment="1">
      <alignment horizontal="center" vertical="center" wrapText="1"/>
    </xf>
    <xf numFmtId="2" fontId="23" fillId="11" borderId="29" xfId="0" applyNumberFormat="1" applyFont="1" applyFill="1" applyBorder="1" applyAlignment="1">
      <alignment horizontal="center" vertical="center" wrapText="1"/>
    </xf>
    <xf numFmtId="2" fontId="23" fillId="11" borderId="9" xfId="0" applyNumberFormat="1" applyFont="1" applyFill="1" applyBorder="1" applyAlignment="1">
      <alignment horizontal="center" vertical="center" wrapText="1"/>
    </xf>
    <xf numFmtId="2" fontId="23" fillId="11" borderId="37" xfId="0" applyNumberFormat="1" applyFont="1" applyFill="1" applyBorder="1" applyAlignment="1">
      <alignment horizontal="center" vertical="center" wrapText="1"/>
    </xf>
    <xf numFmtId="0" fontId="77" fillId="0" borderId="0" xfId="0" applyFont="1"/>
    <xf numFmtId="0" fontId="58" fillId="7" borderId="10" xfId="0" applyFont="1" applyFill="1" applyBorder="1" applyAlignment="1">
      <alignment horizontal="center" vertical="center" wrapText="1"/>
    </xf>
    <xf numFmtId="0" fontId="58" fillId="7" borderId="11" xfId="0" applyFont="1" applyFill="1" applyBorder="1" applyAlignment="1">
      <alignment horizontal="center" vertical="center" wrapText="1"/>
    </xf>
    <xf numFmtId="0" fontId="58" fillId="7" borderId="12" xfId="0" applyFont="1" applyFill="1" applyBorder="1" applyAlignment="1">
      <alignment horizontal="center" vertical="center"/>
    </xf>
    <xf numFmtId="0" fontId="16" fillId="7" borderId="61" xfId="0" applyFont="1" applyFill="1" applyBorder="1" applyAlignment="1">
      <alignment horizontal="center"/>
    </xf>
    <xf numFmtId="4" fontId="75" fillId="9" borderId="29" xfId="0" applyNumberFormat="1" applyFont="1" applyFill="1" applyBorder="1" applyAlignment="1">
      <alignment horizontal="right" vertical="center"/>
    </xf>
    <xf numFmtId="4" fontId="75" fillId="10" borderId="25" xfId="0" applyNumberFormat="1" applyFont="1" applyFill="1" applyBorder="1" applyAlignment="1">
      <alignment horizontal="right" vertical="center"/>
    </xf>
    <xf numFmtId="4" fontId="75" fillId="8" borderId="25" xfId="0" applyNumberFormat="1" applyFont="1" applyFill="1" applyBorder="1" applyAlignment="1">
      <alignment horizontal="right" vertical="center"/>
    </xf>
    <xf numFmtId="4" fontId="76" fillId="8" borderId="25" xfId="0" applyNumberFormat="1" applyFont="1" applyFill="1" applyBorder="1" applyAlignment="1">
      <alignment horizontal="right" vertical="center"/>
    </xf>
    <xf numFmtId="10" fontId="75" fillId="10" borderId="103" xfId="0" applyNumberFormat="1" applyFont="1" applyFill="1" applyBorder="1" applyAlignment="1">
      <alignment horizontal="center" vertical="center"/>
    </xf>
    <xf numFmtId="10" fontId="76" fillId="8" borderId="103" xfId="0" applyNumberFormat="1" applyFont="1" applyFill="1" applyBorder="1" applyAlignment="1">
      <alignment horizontal="center" vertical="center"/>
    </xf>
    <xf numFmtId="10" fontId="75" fillId="8" borderId="103" xfId="0" applyNumberFormat="1" applyFont="1" applyFill="1" applyBorder="1" applyAlignment="1">
      <alignment horizontal="center" vertical="center"/>
    </xf>
    <xf numFmtId="4" fontId="75" fillId="9" borderId="8" xfId="0" applyNumberFormat="1" applyFont="1" applyFill="1" applyBorder="1" applyAlignment="1">
      <alignment horizontal="right" vertical="center"/>
    </xf>
    <xf numFmtId="4" fontId="75" fillId="9" borderId="40" xfId="0" applyNumberFormat="1" applyFont="1" applyFill="1" applyBorder="1" applyAlignment="1">
      <alignment horizontal="right" vertical="center"/>
    </xf>
    <xf numFmtId="4" fontId="75" fillId="9" borderId="48" xfId="0" applyNumberFormat="1" applyFont="1" applyFill="1" applyBorder="1" applyAlignment="1">
      <alignment horizontal="right" vertical="center"/>
    </xf>
    <xf numFmtId="0" fontId="17" fillId="2" borderId="16" xfId="0" applyFont="1" applyFill="1" applyBorder="1" applyAlignment="1">
      <alignment horizontal="center" vertical="center"/>
    </xf>
    <xf numFmtId="4" fontId="75" fillId="8" borderId="22" xfId="0" applyNumberFormat="1" applyFont="1" applyFill="1" applyBorder="1" applyAlignment="1">
      <alignment horizontal="right" vertical="center"/>
    </xf>
    <xf numFmtId="10" fontId="76" fillId="8" borderId="105" xfId="0" applyNumberFormat="1" applyFont="1" applyFill="1" applyBorder="1" applyAlignment="1">
      <alignment horizontal="center" vertical="center"/>
    </xf>
    <xf numFmtId="4" fontId="76" fillId="8" borderId="83" xfId="0" applyNumberFormat="1" applyFont="1" applyFill="1" applyBorder="1" applyAlignment="1">
      <alignment horizontal="right" vertical="center"/>
    </xf>
    <xf numFmtId="0" fontId="18" fillId="11" borderId="42" xfId="0" applyFont="1" applyFill="1" applyBorder="1" applyAlignment="1">
      <alignment horizontal="center" vertical="center"/>
    </xf>
    <xf numFmtId="0" fontId="11" fillId="12" borderId="42" xfId="0" applyFont="1" applyFill="1" applyBorder="1" applyAlignment="1">
      <alignment horizontal="center" vertical="center"/>
    </xf>
    <xf numFmtId="0" fontId="11" fillId="12" borderId="21" xfId="0" applyFont="1" applyFill="1" applyBorder="1" applyAlignment="1">
      <alignment vertical="center"/>
    </xf>
    <xf numFmtId="4" fontId="11" fillId="12" borderId="43" xfId="0" applyNumberFormat="1" applyFont="1" applyFill="1" applyBorder="1" applyAlignment="1">
      <alignment horizontal="right" vertical="center"/>
    </xf>
    <xf numFmtId="4" fontId="11" fillId="12" borderId="31" xfId="0" applyNumberFormat="1" applyFont="1" applyFill="1" applyBorder="1" applyAlignment="1">
      <alignment horizontal="right" vertical="center"/>
    </xf>
    <xf numFmtId="10" fontId="75" fillId="12" borderId="106" xfId="0" applyNumberFormat="1" applyFont="1" applyFill="1" applyBorder="1" applyAlignment="1">
      <alignment horizontal="center" vertical="center"/>
    </xf>
    <xf numFmtId="4" fontId="75" fillId="12" borderId="80" xfId="0" applyNumberFormat="1" applyFont="1" applyFill="1" applyBorder="1" applyAlignment="1">
      <alignment horizontal="right" vertical="center"/>
    </xf>
    <xf numFmtId="0" fontId="78" fillId="0" borderId="0" xfId="0" applyFont="1"/>
    <xf numFmtId="4" fontId="6" fillId="0" borderId="0" xfId="0" applyNumberFormat="1" applyFont="1"/>
    <xf numFmtId="10" fontId="79" fillId="0" borderId="48" xfId="0" applyNumberFormat="1" applyFont="1" applyBorder="1" applyAlignment="1">
      <alignment horizontal="center" vertical="center"/>
    </xf>
    <xf numFmtId="3" fontId="13" fillId="2" borderId="107" xfId="3" applyNumberFormat="1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23" fillId="11" borderId="61" xfId="0" applyFont="1" applyFill="1" applyBorder="1" applyAlignment="1">
      <alignment horizontal="left" vertical="center"/>
    </xf>
    <xf numFmtId="4" fontId="23" fillId="11" borderId="61" xfId="0" applyNumberFormat="1" applyFont="1" applyFill="1" applyBorder="1" applyAlignment="1">
      <alignment horizontal="right" vertical="center"/>
    </xf>
    <xf numFmtId="10" fontId="23" fillId="11" borderId="60" xfId="0" applyNumberFormat="1" applyFont="1" applyFill="1" applyBorder="1" applyAlignment="1">
      <alignment horizontal="center" vertical="center"/>
    </xf>
    <xf numFmtId="10" fontId="23" fillId="11" borderId="61" xfId="0" applyNumberFormat="1" applyFont="1" applyFill="1" applyBorder="1" applyAlignment="1">
      <alignment horizontal="center" vertical="center"/>
    </xf>
    <xf numFmtId="164" fontId="69" fillId="2" borderId="79" xfId="5" applyFont="1" applyFill="1" applyBorder="1" applyAlignment="1">
      <alignment horizontal="right" vertical="center"/>
    </xf>
    <xf numFmtId="164" fontId="69" fillId="2" borderId="71" xfId="5" applyFont="1" applyFill="1" applyBorder="1" applyAlignment="1">
      <alignment horizontal="right" vertical="center"/>
    </xf>
    <xf numFmtId="164" fontId="69" fillId="2" borderId="97" xfId="5" applyFont="1" applyFill="1" applyBorder="1" applyAlignment="1">
      <alignment horizontal="right" vertical="center"/>
    </xf>
    <xf numFmtId="49" fontId="61" fillId="0" borderId="14" xfId="0" applyNumberFormat="1" applyFont="1" applyBorder="1" applyAlignment="1">
      <alignment horizontal="center" vertical="center" wrapText="1"/>
    </xf>
    <xf numFmtId="0" fontId="70" fillId="11" borderId="94" xfId="0" applyFont="1" applyFill="1" applyBorder="1" applyAlignment="1">
      <alignment horizontal="center" vertical="center" wrapText="1"/>
    </xf>
    <xf numFmtId="4" fontId="70" fillId="11" borderId="94" xfId="3" applyNumberFormat="1" applyFont="1" applyFill="1" applyBorder="1" applyAlignment="1">
      <alignment horizontal="center" vertical="center" wrapText="1"/>
    </xf>
    <xf numFmtId="0" fontId="70" fillId="11" borderId="98" xfId="0" applyFont="1" applyFill="1" applyBorder="1" applyAlignment="1">
      <alignment horizontal="center" vertical="center"/>
    </xf>
    <xf numFmtId="164" fontId="70" fillId="11" borderId="98" xfId="5" applyFont="1" applyFill="1" applyBorder="1" applyAlignment="1">
      <alignment horizontal="right" vertical="center"/>
    </xf>
    <xf numFmtId="9" fontId="70" fillId="11" borderId="98" xfId="10" applyFont="1" applyFill="1" applyBorder="1" applyAlignment="1">
      <alignment horizontal="center" vertical="center"/>
    </xf>
    <xf numFmtId="10" fontId="70" fillId="11" borderId="98" xfId="10" applyNumberFormat="1" applyFont="1" applyFill="1" applyBorder="1" applyAlignment="1">
      <alignment horizontal="center" vertical="center"/>
    </xf>
    <xf numFmtId="0" fontId="72" fillId="11" borderId="60" xfId="0" applyFont="1" applyFill="1" applyBorder="1" applyAlignment="1">
      <alignment horizontal="center" vertical="center" wrapText="1"/>
    </xf>
    <xf numFmtId="0" fontId="72" fillId="11" borderId="98" xfId="0" applyFont="1" applyFill="1" applyBorder="1" applyAlignment="1">
      <alignment vertical="center"/>
    </xf>
    <xf numFmtId="4" fontId="72" fillId="11" borderId="98" xfId="0" applyNumberFormat="1" applyFont="1" applyFill="1" applyBorder="1" applyAlignment="1">
      <alignment horizontal="right" vertical="center"/>
    </xf>
    <xf numFmtId="0" fontId="72" fillId="11" borderId="98" xfId="0" applyFont="1" applyFill="1" applyBorder="1" applyAlignment="1">
      <alignment horizontal="center" vertical="center"/>
    </xf>
    <xf numFmtId="4" fontId="75" fillId="10" borderId="108" xfId="0" applyNumberFormat="1" applyFont="1" applyFill="1" applyBorder="1" applyAlignment="1">
      <alignment horizontal="right" vertical="center"/>
    </xf>
    <xf numFmtId="4" fontId="75" fillId="8" borderId="108" xfId="0" applyNumberFormat="1" applyFont="1" applyFill="1" applyBorder="1" applyAlignment="1">
      <alignment horizontal="right" vertical="center"/>
    </xf>
    <xf numFmtId="4" fontId="76" fillId="9" borderId="108" xfId="0" applyNumberFormat="1" applyFont="1" applyFill="1" applyBorder="1" applyAlignment="1">
      <alignment horizontal="right" vertical="center"/>
    </xf>
    <xf numFmtId="4" fontId="23" fillId="7" borderId="108" xfId="0" applyNumberFormat="1" applyFont="1" applyFill="1" applyBorder="1" applyAlignment="1">
      <alignment vertical="center"/>
    </xf>
    <xf numFmtId="4" fontId="75" fillId="9" borderId="108" xfId="0" applyNumberFormat="1" applyFont="1" applyFill="1" applyBorder="1" applyAlignment="1">
      <alignment horizontal="right" vertical="center"/>
    </xf>
    <xf numFmtId="4" fontId="75" fillId="8" borderId="110" xfId="0" applyNumberFormat="1" applyFont="1" applyFill="1" applyBorder="1" applyAlignment="1">
      <alignment horizontal="right" vertical="center"/>
    </xf>
    <xf numFmtId="4" fontId="13" fillId="2" borderId="27" xfId="3" applyNumberFormat="1" applyFont="1" applyFill="1" applyBorder="1" applyAlignment="1">
      <alignment horizontal="center" vertical="center" wrapText="1"/>
    </xf>
    <xf numFmtId="0" fontId="13" fillId="13" borderId="61" xfId="0" applyFont="1" applyFill="1" applyBorder="1" applyAlignment="1" applyProtection="1">
      <alignment horizontal="center"/>
      <protection locked="0"/>
    </xf>
    <xf numFmtId="0" fontId="13" fillId="13" borderId="63" xfId="0" applyFont="1" applyFill="1" applyBorder="1" applyAlignment="1" applyProtection="1">
      <alignment horizontal="center"/>
      <protection locked="0"/>
    </xf>
    <xf numFmtId="4" fontId="13" fillId="13" borderId="63" xfId="0" applyNumberFormat="1" applyFont="1" applyFill="1" applyBorder="1" applyAlignment="1" applyProtection="1">
      <alignment horizontal="center"/>
      <protection locked="0"/>
    </xf>
    <xf numFmtId="0" fontId="13" fillId="13" borderId="64" xfId="0" applyFont="1" applyFill="1" applyBorder="1" applyAlignment="1" applyProtection="1">
      <alignment horizontal="center" wrapText="1"/>
      <protection locked="0"/>
    </xf>
    <xf numFmtId="0" fontId="13" fillId="13" borderId="42" xfId="0" applyFont="1" applyFill="1" applyBorder="1" applyAlignment="1" applyProtection="1">
      <alignment vertical="center"/>
      <protection locked="0"/>
    </xf>
    <xf numFmtId="0" fontId="13" fillId="13" borderId="21" xfId="0" applyFont="1" applyFill="1" applyBorder="1" applyAlignment="1" applyProtection="1">
      <alignment vertical="center"/>
      <protection locked="0"/>
    </xf>
    <xf numFmtId="4" fontId="13" fillId="13" borderId="21" xfId="0" applyNumberFormat="1" applyFont="1" applyFill="1" applyBorder="1" applyAlignment="1" applyProtection="1">
      <alignment vertical="center"/>
      <protection locked="0"/>
    </xf>
    <xf numFmtId="4" fontId="18" fillId="13" borderId="43" xfId="0" applyNumberFormat="1" applyFont="1" applyFill="1" applyBorder="1" applyAlignment="1" applyProtection="1">
      <alignment vertical="center" wrapText="1"/>
      <protection locked="0"/>
    </xf>
    <xf numFmtId="0" fontId="13" fillId="2" borderId="92" xfId="0" applyFont="1" applyFill="1" applyBorder="1" applyAlignment="1">
      <alignment horizontal="center" vertical="center"/>
    </xf>
    <xf numFmtId="0" fontId="13" fillId="2" borderId="92" xfId="0" applyFont="1" applyFill="1" applyBorder="1" applyAlignment="1">
      <alignment vertical="center"/>
    </xf>
    <xf numFmtId="168" fontId="16" fillId="0" borderId="92" xfId="0" applyNumberFormat="1" applyFont="1" applyBorder="1" applyAlignment="1">
      <alignment horizontal="right" vertical="center"/>
    </xf>
    <xf numFmtId="10" fontId="16" fillId="0" borderId="92" xfId="0" applyNumberFormat="1" applyFont="1" applyBorder="1" applyAlignment="1">
      <alignment horizontal="center" vertical="center"/>
    </xf>
    <xf numFmtId="0" fontId="72" fillId="11" borderId="0" xfId="0" applyFont="1" applyFill="1" applyAlignment="1">
      <alignment horizontal="center" vertical="center" wrapText="1"/>
    </xf>
    <xf numFmtId="10" fontId="74" fillId="0" borderId="0" xfId="0" applyNumberFormat="1" applyFont="1" applyAlignment="1">
      <alignment horizontal="center" vertical="center"/>
    </xf>
    <xf numFmtId="0" fontId="72" fillId="11" borderId="0" xfId="0" applyFont="1" applyFill="1" applyAlignment="1">
      <alignment horizontal="center" vertical="center"/>
    </xf>
    <xf numFmtId="166" fontId="13" fillId="6" borderId="0" xfId="5" applyNumberFormat="1" applyFont="1" applyFill="1" applyBorder="1" applyAlignment="1">
      <alignment horizontal="center" vertical="center" wrapText="1"/>
    </xf>
    <xf numFmtId="10" fontId="17" fillId="0" borderId="0" xfId="0" applyNumberFormat="1" applyFont="1" applyAlignment="1">
      <alignment horizontal="center" vertical="center"/>
    </xf>
    <xf numFmtId="10" fontId="16" fillId="6" borderId="0" xfId="0" applyNumberFormat="1" applyFont="1" applyFill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68" fontId="17" fillId="0" borderId="0" xfId="0" applyNumberFormat="1" applyFont="1" applyAlignment="1">
      <alignment horizontal="right" vertical="center"/>
    </xf>
    <xf numFmtId="166" fontId="11" fillId="2" borderId="0" xfId="5" applyNumberFormat="1" applyFont="1" applyFill="1" applyAlignment="1">
      <alignment vertical="center"/>
    </xf>
    <xf numFmtId="0" fontId="2" fillId="2" borderId="66" xfId="0" applyFont="1" applyFill="1" applyBorder="1" applyAlignment="1">
      <alignment horizontal="center" vertical="center"/>
    </xf>
    <xf numFmtId="4" fontId="11" fillId="2" borderId="95" xfId="3" applyNumberFormat="1" applyFont="1" applyFill="1" applyBorder="1" applyAlignment="1">
      <alignment horizontal="center" vertical="center" wrapText="1"/>
    </xf>
    <xf numFmtId="4" fontId="23" fillId="2" borderId="96" xfId="5" applyNumberFormat="1" applyFont="1" applyFill="1" applyBorder="1" applyAlignment="1">
      <alignment horizontal="center" vertical="center" wrapText="1"/>
    </xf>
    <xf numFmtId="4" fontId="12" fillId="2" borderId="40" xfId="0" applyNumberFormat="1" applyFont="1" applyFill="1" applyBorder="1"/>
    <xf numFmtId="4" fontId="12" fillId="2" borderId="48" xfId="0" applyNumberFormat="1" applyFont="1" applyFill="1" applyBorder="1"/>
    <xf numFmtId="4" fontId="23" fillId="2" borderId="40" xfId="0" applyNumberFormat="1" applyFont="1" applyFill="1" applyBorder="1"/>
    <xf numFmtId="4" fontId="23" fillId="2" borderId="48" xfId="0" applyNumberFormat="1" applyFont="1" applyFill="1" applyBorder="1"/>
    <xf numFmtId="4" fontId="11" fillId="10" borderId="51" xfId="0" applyNumberFormat="1" applyFont="1" applyFill="1" applyBorder="1" applyAlignment="1">
      <alignment horizontal="right" vertical="center"/>
    </xf>
    <xf numFmtId="0" fontId="75" fillId="8" borderId="8" xfId="0" applyFont="1" applyFill="1" applyBorder="1" applyAlignment="1">
      <alignment vertical="center" wrapText="1"/>
    </xf>
    <xf numFmtId="0" fontId="75" fillId="10" borderId="8" xfId="0" applyFont="1" applyFill="1" applyBorder="1" applyAlignment="1">
      <alignment horizontal="left" vertical="center" wrapText="1"/>
    </xf>
    <xf numFmtId="0" fontId="75" fillId="10" borderId="8" xfId="0" applyFont="1" applyFill="1" applyBorder="1" applyAlignment="1">
      <alignment vertical="center" wrapText="1"/>
    </xf>
    <xf numFmtId="0" fontId="75" fillId="8" borderId="8" xfId="0" applyFont="1" applyFill="1" applyBorder="1" applyAlignment="1">
      <alignment horizontal="left" vertical="center" wrapText="1"/>
    </xf>
    <xf numFmtId="0" fontId="75" fillId="8" borderId="17" xfId="0" applyFont="1" applyFill="1" applyBorder="1" applyAlignment="1">
      <alignment vertical="center" wrapText="1"/>
    </xf>
    <xf numFmtId="0" fontId="11" fillId="10" borderId="21" xfId="0" applyFont="1" applyFill="1" applyBorder="1" applyAlignment="1">
      <alignment vertical="center" wrapText="1"/>
    </xf>
    <xf numFmtId="4" fontId="75" fillId="9" borderId="67" xfId="0" applyNumberFormat="1" applyFont="1" applyFill="1" applyBorder="1" applyAlignment="1">
      <alignment horizontal="right" vertical="center"/>
    </xf>
    <xf numFmtId="4" fontId="11" fillId="2" borderId="45" xfId="3" applyNumberFormat="1" applyFont="1" applyFill="1" applyBorder="1" applyAlignment="1">
      <alignment horizontal="center" vertical="center" wrapText="1"/>
    </xf>
    <xf numFmtId="4" fontId="23" fillId="2" borderId="46" xfId="5" applyNumberFormat="1" applyFont="1" applyFill="1" applyBorder="1" applyAlignment="1">
      <alignment horizontal="center" vertical="center" wrapText="1"/>
    </xf>
    <xf numFmtId="4" fontId="11" fillId="7" borderId="82" xfId="0" applyNumberFormat="1" applyFont="1" applyFill="1" applyBorder="1" applyAlignment="1">
      <alignment vertical="center"/>
    </xf>
    <xf numFmtId="4" fontId="11" fillId="7" borderId="51" xfId="0" applyNumberFormat="1" applyFont="1" applyFill="1" applyBorder="1" applyAlignment="1">
      <alignment vertical="center"/>
    </xf>
    <xf numFmtId="4" fontId="11" fillId="12" borderId="111" xfId="0" applyNumberFormat="1" applyFont="1" applyFill="1" applyBorder="1" applyAlignment="1">
      <alignment horizontal="right" vertical="center"/>
    </xf>
    <xf numFmtId="4" fontId="11" fillId="12" borderId="21" xfId="0" applyNumberFormat="1" applyFont="1" applyFill="1" applyBorder="1" applyAlignment="1">
      <alignment horizontal="right" vertical="center"/>
    </xf>
    <xf numFmtId="4" fontId="13" fillId="2" borderId="45" xfId="5" applyNumberFormat="1" applyFont="1" applyFill="1" applyBorder="1" applyAlignment="1">
      <alignment horizontal="center" vertical="center" wrapText="1"/>
    </xf>
    <xf numFmtId="4" fontId="11" fillId="12" borderId="82" xfId="0" applyNumberFormat="1" applyFont="1" applyFill="1" applyBorder="1" applyAlignment="1">
      <alignment horizontal="right" vertical="center"/>
    </xf>
    <xf numFmtId="165" fontId="13" fillId="2" borderId="102" xfId="3" applyNumberFormat="1" applyFont="1" applyFill="1" applyBorder="1" applyAlignment="1">
      <alignment horizontal="center" vertical="center" wrapText="1"/>
    </xf>
    <xf numFmtId="49" fontId="23" fillId="2" borderId="15" xfId="0" applyNumberFormat="1" applyFont="1" applyFill="1" applyBorder="1" applyAlignment="1">
      <alignment horizontal="center" vertical="center"/>
    </xf>
    <xf numFmtId="4" fontId="0" fillId="2" borderId="9" xfId="0" applyNumberFormat="1" applyFill="1" applyBorder="1" applyAlignment="1">
      <alignment vertical="center"/>
    </xf>
    <xf numFmtId="4" fontId="0" fillId="2" borderId="29" xfId="0" applyNumberFormat="1" applyFill="1" applyBorder="1" applyAlignment="1">
      <alignment vertical="center"/>
    </xf>
    <xf numFmtId="4" fontId="0" fillId="2" borderId="108" xfId="0" applyNumberFormat="1" applyFill="1" applyBorder="1" applyAlignment="1">
      <alignment vertical="center"/>
    </xf>
    <xf numFmtId="4" fontId="0" fillId="2" borderId="8" xfId="0" applyNumberFormat="1" applyFill="1" applyBorder="1" applyAlignment="1">
      <alignment vertical="center"/>
    </xf>
    <xf numFmtId="4" fontId="0" fillId="2" borderId="40" xfId="0" applyNumberFormat="1" applyFill="1" applyBorder="1" applyAlignment="1">
      <alignment vertical="center"/>
    </xf>
    <xf numFmtId="4" fontId="23" fillId="2" borderId="9" xfId="0" applyNumberFormat="1" applyFont="1" applyFill="1" applyBorder="1" applyAlignment="1">
      <alignment vertical="center"/>
    </xf>
    <xf numFmtId="4" fontId="23" fillId="2" borderId="29" xfId="0" applyNumberFormat="1" applyFont="1" applyFill="1" applyBorder="1" applyAlignment="1">
      <alignment vertical="center"/>
    </xf>
    <xf numFmtId="4" fontId="23" fillId="2" borderId="108" xfId="0" applyNumberFormat="1" applyFont="1" applyFill="1" applyBorder="1" applyAlignment="1">
      <alignment vertical="center"/>
    </xf>
    <xf numFmtId="4" fontId="23" fillId="2" borderId="8" xfId="0" applyNumberFormat="1" applyFont="1" applyFill="1" applyBorder="1" applyAlignment="1">
      <alignment vertical="center"/>
    </xf>
    <xf numFmtId="4" fontId="23" fillId="2" borderId="40" xfId="0" applyNumberFormat="1" applyFont="1" applyFill="1" applyBorder="1" applyAlignment="1">
      <alignment vertical="center"/>
    </xf>
    <xf numFmtId="49" fontId="23" fillId="7" borderId="15" xfId="0" applyNumberFormat="1" applyFont="1" applyFill="1" applyBorder="1" applyAlignment="1">
      <alignment horizontal="center" vertical="center"/>
    </xf>
    <xf numFmtId="167" fontId="57" fillId="0" borderId="5" xfId="0" applyNumberFormat="1" applyFont="1" applyBorder="1" applyAlignment="1" applyProtection="1">
      <alignment horizontal="right" vertical="center"/>
      <protection locked="0"/>
    </xf>
    <xf numFmtId="167" fontId="21" fillId="11" borderId="87" xfId="0" applyNumberFormat="1" applyFont="1" applyFill="1" applyBorder="1" applyAlignment="1" applyProtection="1">
      <alignment horizontal="right" vertical="center"/>
      <protection locked="0"/>
    </xf>
    <xf numFmtId="4" fontId="70" fillId="0" borderId="0" xfId="0" applyNumberFormat="1" applyFont="1"/>
    <xf numFmtId="0" fontId="80" fillId="2" borderId="6" xfId="0" applyFont="1" applyFill="1" applyBorder="1" applyAlignment="1">
      <alignment vertical="center"/>
    </xf>
    <xf numFmtId="0" fontId="80" fillId="2" borderId="60" xfId="0" applyFont="1" applyFill="1" applyBorder="1" applyAlignment="1">
      <alignment horizontal="center" vertical="center"/>
    </xf>
    <xf numFmtId="0" fontId="80" fillId="11" borderId="61" xfId="0" applyFont="1" applyFill="1" applyBorder="1" applyAlignment="1">
      <alignment horizontal="center" vertical="center" wrapText="1"/>
    </xf>
    <xf numFmtId="4" fontId="80" fillId="11" borderId="63" xfId="3" applyNumberFormat="1" applyFont="1" applyFill="1" applyBorder="1" applyAlignment="1">
      <alignment horizontal="center" vertical="center" wrapText="1"/>
    </xf>
    <xf numFmtId="4" fontId="80" fillId="11" borderId="64" xfId="3" applyNumberFormat="1" applyFont="1" applyFill="1" applyBorder="1" applyAlignment="1">
      <alignment horizontal="center" vertical="center" wrapText="1"/>
    </xf>
    <xf numFmtId="0" fontId="80" fillId="11" borderId="79" xfId="0" applyFont="1" applyFill="1" applyBorder="1" applyAlignment="1">
      <alignment vertical="center" wrapText="1"/>
    </xf>
    <xf numFmtId="0" fontId="80" fillId="2" borderId="65" xfId="0" applyFont="1" applyFill="1" applyBorder="1" applyAlignment="1">
      <alignment horizontal="center" vertical="center" wrapText="1"/>
    </xf>
    <xf numFmtId="4" fontId="80" fillId="2" borderId="44" xfId="3" applyNumberFormat="1" applyFont="1" applyFill="1" applyBorder="1" applyAlignment="1">
      <alignment horizontal="center" vertical="center" wrapText="1"/>
    </xf>
    <xf numFmtId="4" fontId="80" fillId="2" borderId="58" xfId="3" applyNumberFormat="1" applyFont="1" applyFill="1" applyBorder="1" applyAlignment="1">
      <alignment horizontal="center" vertical="center" wrapText="1"/>
    </xf>
    <xf numFmtId="4" fontId="80" fillId="2" borderId="65" xfId="3" applyNumberFormat="1" applyFont="1" applyFill="1" applyBorder="1" applyAlignment="1">
      <alignment horizontal="center" vertical="center" wrapText="1"/>
    </xf>
    <xf numFmtId="0" fontId="81" fillId="2" borderId="71" xfId="0" applyFont="1" applyFill="1" applyBorder="1" applyAlignment="1">
      <alignment horizontal="left" vertical="center"/>
    </xf>
    <xf numFmtId="3" fontId="81" fillId="2" borderId="15" xfId="0" applyNumberFormat="1" applyFont="1" applyFill="1" applyBorder="1" applyAlignment="1">
      <alignment vertical="center"/>
    </xf>
    <xf numFmtId="3" fontId="81" fillId="2" borderId="8" xfId="0" applyNumberFormat="1" applyFont="1" applyFill="1" applyBorder="1" applyAlignment="1">
      <alignment vertical="center"/>
    </xf>
    <xf numFmtId="165" fontId="81" fillId="2" borderId="9" xfId="0" applyNumberFormat="1" applyFont="1" applyFill="1" applyBorder="1" applyAlignment="1">
      <alignment horizontal="center" vertical="center"/>
    </xf>
    <xf numFmtId="165" fontId="81" fillId="2" borderId="9" xfId="0" applyNumberFormat="1" applyFont="1" applyFill="1" applyBorder="1" applyAlignment="1">
      <alignment vertical="center"/>
    </xf>
    <xf numFmtId="4" fontId="81" fillId="2" borderId="8" xfId="0" applyNumberFormat="1" applyFont="1" applyFill="1" applyBorder="1" applyAlignment="1">
      <alignment vertical="center"/>
    </xf>
    <xf numFmtId="10" fontId="81" fillId="2" borderId="9" xfId="0" applyNumberFormat="1" applyFont="1" applyFill="1" applyBorder="1" applyAlignment="1">
      <alignment vertical="center"/>
    </xf>
    <xf numFmtId="0" fontId="80" fillId="7" borderId="71" xfId="0" applyFont="1" applyFill="1" applyBorder="1" applyAlignment="1">
      <alignment horizontal="left" vertical="center"/>
    </xf>
    <xf numFmtId="3" fontId="80" fillId="7" borderId="15" xfId="0" applyNumberFormat="1" applyFont="1" applyFill="1" applyBorder="1" applyAlignment="1">
      <alignment vertical="center"/>
    </xf>
    <xf numFmtId="3" fontId="80" fillId="7" borderId="8" xfId="0" applyNumberFormat="1" applyFont="1" applyFill="1" applyBorder="1" applyAlignment="1">
      <alignment vertical="center"/>
    </xf>
    <xf numFmtId="165" fontId="80" fillId="7" borderId="9" xfId="0" applyNumberFormat="1" applyFont="1" applyFill="1" applyBorder="1" applyAlignment="1">
      <alignment horizontal="center" vertical="center"/>
    </xf>
    <xf numFmtId="165" fontId="80" fillId="7" borderId="9" xfId="0" applyNumberFormat="1" applyFont="1" applyFill="1" applyBorder="1" applyAlignment="1">
      <alignment vertical="center"/>
    </xf>
    <xf numFmtId="4" fontId="80" fillId="7" borderId="8" xfId="0" applyNumberFormat="1" applyFont="1" applyFill="1" applyBorder="1" applyAlignment="1">
      <alignment vertical="center"/>
    </xf>
    <xf numFmtId="10" fontId="80" fillId="7" borderId="9" xfId="0" applyNumberFormat="1" applyFont="1" applyFill="1" applyBorder="1" applyAlignment="1">
      <alignment vertical="center"/>
    </xf>
    <xf numFmtId="10" fontId="80" fillId="7" borderId="15" xfId="0" applyNumberFormat="1" applyFont="1" applyFill="1" applyBorder="1" applyAlignment="1">
      <alignment horizontal="center" vertical="center"/>
    </xf>
    <xf numFmtId="10" fontId="80" fillId="7" borderId="8" xfId="0" applyNumberFormat="1" applyFont="1" applyFill="1" applyBorder="1" applyAlignment="1">
      <alignment horizontal="center" vertical="center"/>
    </xf>
    <xf numFmtId="165" fontId="80" fillId="7" borderId="15" xfId="0" applyNumberFormat="1" applyFont="1" applyFill="1" applyBorder="1" applyAlignment="1">
      <alignment horizontal="center" vertical="center"/>
    </xf>
    <xf numFmtId="165" fontId="80" fillId="7" borderId="8" xfId="0" applyNumberFormat="1" applyFont="1" applyFill="1" applyBorder="1" applyAlignment="1">
      <alignment horizontal="center" vertical="center"/>
    </xf>
    <xf numFmtId="10" fontId="80" fillId="7" borderId="66" xfId="0" applyNumberFormat="1" applyFont="1" applyFill="1" applyBorder="1" applyAlignment="1">
      <alignment horizontal="center" vertical="center"/>
    </xf>
    <xf numFmtId="10" fontId="80" fillId="7" borderId="67" xfId="0" applyNumberFormat="1" applyFont="1" applyFill="1" applyBorder="1" applyAlignment="1">
      <alignment horizontal="center" vertical="center"/>
    </xf>
    <xf numFmtId="165" fontId="80" fillId="7" borderId="25" xfId="0" applyNumberFormat="1" applyFont="1" applyFill="1" applyBorder="1" applyAlignment="1">
      <alignment horizontal="center" vertical="center"/>
    </xf>
    <xf numFmtId="0" fontId="80" fillId="2" borderId="92" xfId="0" applyFont="1" applyFill="1" applyBorder="1" applyAlignment="1">
      <alignment horizontal="left" vertical="center"/>
    </xf>
    <xf numFmtId="10" fontId="80" fillId="2" borderId="81" xfId="0" applyNumberFormat="1" applyFont="1" applyFill="1" applyBorder="1" applyAlignment="1">
      <alignment horizontal="center" vertical="center"/>
    </xf>
    <xf numFmtId="10" fontId="80" fillId="2" borderId="84" xfId="0" applyNumberFormat="1" applyFont="1" applyFill="1" applyBorder="1" applyAlignment="1">
      <alignment horizontal="center" vertical="center"/>
    </xf>
    <xf numFmtId="165" fontId="80" fillId="2" borderId="83" xfId="0" applyNumberFormat="1" applyFont="1" applyFill="1" applyBorder="1" applyAlignment="1">
      <alignment horizontal="center" vertical="center"/>
    </xf>
    <xf numFmtId="165" fontId="80" fillId="2" borderId="81" xfId="0" applyNumberFormat="1" applyFont="1" applyFill="1" applyBorder="1" applyAlignment="1">
      <alignment horizontal="center" vertical="center"/>
    </xf>
    <xf numFmtId="165" fontId="80" fillId="2" borderId="84" xfId="0" applyNumberFormat="1" applyFont="1" applyFill="1" applyBorder="1" applyAlignment="1">
      <alignment horizontal="center" vertical="center"/>
    </xf>
    <xf numFmtId="4" fontId="80" fillId="2" borderId="84" xfId="0" applyNumberFormat="1" applyFont="1" applyFill="1" applyBorder="1" applyAlignment="1">
      <alignment horizontal="center" vertical="center"/>
    </xf>
    <xf numFmtId="10" fontId="80" fillId="2" borderId="83" xfId="0" applyNumberFormat="1" applyFont="1" applyFill="1" applyBorder="1" applyAlignment="1">
      <alignment vertical="center"/>
    </xf>
    <xf numFmtId="0" fontId="80" fillId="11" borderId="91" xfId="0" applyFont="1" applyFill="1" applyBorder="1" applyAlignment="1">
      <alignment horizontal="left" vertical="center"/>
    </xf>
    <xf numFmtId="10" fontId="80" fillId="2" borderId="68" xfId="0" applyNumberFormat="1" applyFont="1" applyFill="1" applyBorder="1" applyAlignment="1">
      <alignment horizontal="center" vertical="center"/>
    </xf>
    <xf numFmtId="10" fontId="80" fillId="2" borderId="32" xfId="0" applyNumberFormat="1" applyFont="1" applyFill="1" applyBorder="1" applyAlignment="1">
      <alignment horizontal="center" vertical="center"/>
    </xf>
    <xf numFmtId="165" fontId="80" fillId="2" borderId="35" xfId="0" applyNumberFormat="1" applyFont="1" applyFill="1" applyBorder="1" applyAlignment="1">
      <alignment horizontal="center" vertical="center"/>
    </xf>
    <xf numFmtId="165" fontId="80" fillId="2" borderId="68" xfId="0" applyNumberFormat="1" applyFont="1" applyFill="1" applyBorder="1" applyAlignment="1">
      <alignment horizontal="center" vertical="center"/>
    </xf>
    <xf numFmtId="165" fontId="80" fillId="2" borderId="32" xfId="0" applyNumberFormat="1" applyFont="1" applyFill="1" applyBorder="1" applyAlignment="1">
      <alignment horizontal="center" vertical="center"/>
    </xf>
    <xf numFmtId="4" fontId="80" fillId="2" borderId="32" xfId="0" applyNumberFormat="1" applyFont="1" applyFill="1" applyBorder="1" applyAlignment="1">
      <alignment horizontal="center" vertical="center"/>
    </xf>
    <xf numFmtId="10" fontId="80" fillId="2" borderId="35" xfId="0" applyNumberFormat="1" applyFont="1" applyFill="1" applyBorder="1" applyAlignment="1">
      <alignment vertical="center"/>
    </xf>
    <xf numFmtId="165" fontId="81" fillId="2" borderId="20" xfId="0" applyNumberFormat="1" applyFont="1" applyFill="1" applyBorder="1" applyAlignment="1">
      <alignment horizontal="center" vertical="center"/>
    </xf>
    <xf numFmtId="0" fontId="80" fillId="7" borderId="60" xfId="0" applyFont="1" applyFill="1" applyBorder="1" applyAlignment="1">
      <alignment horizontal="left" vertical="center"/>
    </xf>
    <xf numFmtId="10" fontId="80" fillId="7" borderId="61" xfId="0" applyNumberFormat="1" applyFont="1" applyFill="1" applyBorder="1" applyAlignment="1">
      <alignment horizontal="center" vertical="center"/>
    </xf>
    <xf numFmtId="3" fontId="81" fillId="7" borderId="14" xfId="0" applyNumberFormat="1" applyFont="1" applyFill="1" applyBorder="1" applyAlignment="1">
      <alignment vertical="center"/>
    </xf>
    <xf numFmtId="165" fontId="81" fillId="7" borderId="20" xfId="0" applyNumberFormat="1" applyFont="1" applyFill="1" applyBorder="1" applyAlignment="1">
      <alignment vertical="center"/>
    </xf>
    <xf numFmtId="3" fontId="81" fillId="7" borderId="13" xfId="0" applyNumberFormat="1" applyFont="1" applyFill="1" applyBorder="1" applyAlignment="1">
      <alignment vertical="center"/>
    </xf>
    <xf numFmtId="3" fontId="81" fillId="7" borderId="68" xfId="0" applyNumberFormat="1" applyFont="1" applyFill="1" applyBorder="1" applyAlignment="1">
      <alignment vertical="center"/>
    </xf>
    <xf numFmtId="3" fontId="81" fillId="7" borderId="67" xfId="0" applyNumberFormat="1" applyFont="1" applyFill="1" applyBorder="1" applyAlignment="1">
      <alignment vertical="center"/>
    </xf>
    <xf numFmtId="165" fontId="81" fillId="7" borderId="25" xfId="0" applyNumberFormat="1" applyFont="1" applyFill="1" applyBorder="1" applyAlignment="1">
      <alignment vertical="center"/>
    </xf>
    <xf numFmtId="10" fontId="80" fillId="7" borderId="61" xfId="0" applyNumberFormat="1" applyFont="1" applyFill="1" applyBorder="1" applyAlignment="1">
      <alignment vertical="center"/>
    </xf>
    <xf numFmtId="4" fontId="81" fillId="7" borderId="8" xfId="0" applyNumberFormat="1" applyFont="1" applyFill="1" applyBorder="1" applyAlignment="1">
      <alignment vertical="center"/>
    </xf>
    <xf numFmtId="10" fontId="81" fillId="7" borderId="9" xfId="0" applyNumberFormat="1" applyFont="1" applyFill="1" applyBorder="1" applyAlignment="1">
      <alignment vertical="center"/>
    </xf>
    <xf numFmtId="0" fontId="81" fillId="2" borderId="94" xfId="0" applyFont="1" applyFill="1" applyBorder="1" applyAlignment="1">
      <alignment horizontal="left" vertical="center"/>
    </xf>
    <xf numFmtId="10" fontId="80" fillId="2" borderId="4" xfId="0" applyNumberFormat="1" applyFont="1" applyFill="1" applyBorder="1" applyAlignment="1">
      <alignment horizontal="center" vertical="center"/>
    </xf>
    <xf numFmtId="10" fontId="80" fillId="2" borderId="0" xfId="0" applyNumberFormat="1" applyFont="1" applyFill="1" applyAlignment="1">
      <alignment horizontal="center" vertical="center"/>
    </xf>
    <xf numFmtId="165" fontId="80" fillId="2" borderId="5" xfId="0" applyNumberFormat="1" applyFont="1" applyFill="1" applyBorder="1" applyAlignment="1">
      <alignment horizontal="center" vertical="center"/>
    </xf>
    <xf numFmtId="0" fontId="80" fillId="11" borderId="91" xfId="0" applyFont="1" applyFill="1" applyBorder="1" applyAlignment="1">
      <alignment vertical="center"/>
    </xf>
    <xf numFmtId="3" fontId="81" fillId="2" borderId="68" xfId="0" applyNumberFormat="1" applyFont="1" applyFill="1" applyBorder="1" applyAlignment="1">
      <alignment vertical="center"/>
    </xf>
    <xf numFmtId="3" fontId="81" fillId="2" borderId="32" xfId="0" applyNumberFormat="1" applyFont="1" applyFill="1" applyBorder="1" applyAlignment="1">
      <alignment vertical="center"/>
    </xf>
    <xf numFmtId="165" fontId="81" fillId="2" borderId="35" xfId="0" applyNumberFormat="1" applyFont="1" applyFill="1" applyBorder="1" applyAlignment="1">
      <alignment horizontal="center" vertical="center"/>
    </xf>
    <xf numFmtId="165" fontId="81" fillId="2" borderId="68" xfId="0" applyNumberFormat="1" applyFont="1" applyFill="1" applyBorder="1" applyAlignment="1">
      <alignment horizontal="center" vertical="center"/>
    </xf>
    <xf numFmtId="165" fontId="81" fillId="2" borderId="32" xfId="0" applyNumberFormat="1" applyFont="1" applyFill="1" applyBorder="1" applyAlignment="1">
      <alignment horizontal="center" vertical="center"/>
    </xf>
    <xf numFmtId="165" fontId="81" fillId="2" borderId="35" xfId="0" applyNumberFormat="1" applyFont="1" applyFill="1" applyBorder="1" applyAlignment="1">
      <alignment vertical="center"/>
    </xf>
    <xf numFmtId="4" fontId="81" fillId="2" borderId="32" xfId="0" applyNumberFormat="1" applyFont="1" applyFill="1" applyBorder="1" applyAlignment="1">
      <alignment vertical="center"/>
    </xf>
    <xf numFmtId="10" fontId="81" fillId="2" borderId="35" xfId="0" applyNumberFormat="1" applyFont="1" applyFill="1" applyBorder="1" applyAlignment="1">
      <alignment vertical="center"/>
    </xf>
    <xf numFmtId="3" fontId="81" fillId="2" borderId="15" xfId="0" applyNumberFormat="1" applyFont="1" applyFill="1" applyBorder="1" applyAlignment="1">
      <alignment horizontal="right" vertical="center"/>
    </xf>
    <xf numFmtId="3" fontId="81" fillId="2" borderId="8" xfId="0" applyNumberFormat="1" applyFont="1" applyFill="1" applyBorder="1" applyAlignment="1">
      <alignment horizontal="right" vertical="center"/>
    </xf>
    <xf numFmtId="3" fontId="81" fillId="2" borderId="66" xfId="0" applyNumberFormat="1" applyFont="1" applyFill="1" applyBorder="1" applyAlignment="1">
      <alignment vertical="center"/>
    </xf>
    <xf numFmtId="165" fontId="81" fillId="2" borderId="25" xfId="0" applyNumberFormat="1" applyFont="1" applyFill="1" applyBorder="1" applyAlignment="1">
      <alignment vertical="center"/>
    </xf>
    <xf numFmtId="3" fontId="80" fillId="7" borderId="15" xfId="0" applyNumberFormat="1" applyFont="1" applyFill="1" applyBorder="1" applyAlignment="1">
      <alignment horizontal="right" vertical="center"/>
    </xf>
    <xf numFmtId="3" fontId="80" fillId="7" borderId="8" xfId="0" applyNumberFormat="1" applyFont="1" applyFill="1" applyBorder="1" applyAlignment="1">
      <alignment horizontal="right" vertical="center"/>
    </xf>
    <xf numFmtId="0" fontId="80" fillId="11" borderId="60" xfId="0" applyFont="1" applyFill="1" applyBorder="1" applyAlignment="1">
      <alignment horizontal="left" vertical="center"/>
    </xf>
    <xf numFmtId="3" fontId="80" fillId="11" borderId="61" xfId="0" applyNumberFormat="1" applyFont="1" applyFill="1" applyBorder="1" applyAlignment="1">
      <alignment vertical="center"/>
    </xf>
    <xf numFmtId="165" fontId="80" fillId="11" borderId="61" xfId="0" applyNumberFormat="1" applyFont="1" applyFill="1" applyBorder="1" applyAlignment="1">
      <alignment horizontal="center" vertical="center"/>
    </xf>
    <xf numFmtId="165" fontId="80" fillId="11" borderId="61" xfId="0" applyNumberFormat="1" applyFont="1" applyFill="1" applyBorder="1" applyAlignment="1">
      <alignment vertical="center"/>
    </xf>
    <xf numFmtId="4" fontId="80" fillId="11" borderId="61" xfId="0" applyNumberFormat="1" applyFont="1" applyFill="1" applyBorder="1" applyAlignment="1">
      <alignment vertical="center"/>
    </xf>
    <xf numFmtId="10" fontId="80" fillId="11" borderId="64" xfId="0" applyNumberFormat="1" applyFont="1" applyFill="1" applyBorder="1" applyAlignment="1">
      <alignment vertical="center"/>
    </xf>
    <xf numFmtId="10" fontId="80" fillId="11" borderId="69" xfId="0" applyNumberFormat="1" applyFont="1" applyFill="1" applyBorder="1" applyAlignment="1">
      <alignment horizontal="center" vertical="center"/>
    </xf>
    <xf numFmtId="10" fontId="80" fillId="11" borderId="59" xfId="0" applyNumberFormat="1" applyFont="1" applyFill="1" applyBorder="1" applyAlignment="1">
      <alignment horizontal="center" vertical="center"/>
    </xf>
    <xf numFmtId="165" fontId="80" fillId="11" borderId="70" xfId="0" applyNumberFormat="1" applyFont="1" applyFill="1" applyBorder="1" applyAlignment="1">
      <alignment horizontal="center" vertical="center"/>
    </xf>
    <xf numFmtId="165" fontId="80" fillId="11" borderId="69" xfId="0" applyNumberFormat="1" applyFont="1" applyFill="1" applyBorder="1" applyAlignment="1">
      <alignment horizontal="center" vertical="center"/>
    </xf>
    <xf numFmtId="165" fontId="80" fillId="11" borderId="70" xfId="0" applyNumberFormat="1" applyFont="1" applyFill="1" applyBorder="1" applyAlignment="1">
      <alignment vertical="center"/>
    </xf>
    <xf numFmtId="49" fontId="18" fillId="0" borderId="0" xfId="0" applyNumberFormat="1" applyFont="1" applyAlignment="1">
      <alignment horizontal="center"/>
    </xf>
    <xf numFmtId="0" fontId="13" fillId="7" borderId="18" xfId="3" applyFont="1" applyFill="1" applyBorder="1" applyAlignment="1">
      <alignment horizontal="center" vertical="center" wrapText="1"/>
    </xf>
    <xf numFmtId="0" fontId="13" fillId="7" borderId="11" xfId="3" applyFont="1" applyFill="1" applyBorder="1" applyAlignment="1">
      <alignment horizontal="center" vertical="center" wrapText="1"/>
    </xf>
    <xf numFmtId="3" fontId="13" fillId="7" borderId="18" xfId="3" applyNumberFormat="1" applyFont="1" applyFill="1" applyBorder="1" applyAlignment="1">
      <alignment horizontal="center" vertical="center" wrapText="1"/>
    </xf>
    <xf numFmtId="3" fontId="13" fillId="7" borderId="11" xfId="3" applyNumberFormat="1" applyFont="1" applyFill="1" applyBorder="1" applyAlignment="1">
      <alignment horizontal="center" vertical="center" wrapText="1"/>
    </xf>
    <xf numFmtId="49" fontId="13" fillId="7" borderId="23" xfId="3" applyNumberFormat="1" applyFont="1" applyFill="1" applyBorder="1" applyAlignment="1">
      <alignment horizontal="center" vertical="center" wrapText="1"/>
    </xf>
    <xf numFmtId="49" fontId="13" fillId="7" borderId="10" xfId="3" applyNumberFormat="1" applyFont="1" applyFill="1" applyBorder="1" applyAlignment="1">
      <alignment horizontal="center" vertical="center" wrapText="1"/>
    </xf>
    <xf numFmtId="3" fontId="13" fillId="7" borderId="27" xfId="3" applyNumberFormat="1" applyFont="1" applyFill="1" applyBorder="1" applyAlignment="1">
      <alignment horizontal="center" vertical="center" wrapText="1"/>
    </xf>
    <xf numFmtId="3" fontId="13" fillId="7" borderId="34" xfId="3" applyNumberFormat="1" applyFont="1" applyFill="1" applyBorder="1" applyAlignment="1">
      <alignment horizontal="center" vertical="center" wrapText="1"/>
    </xf>
    <xf numFmtId="4" fontId="13" fillId="7" borderId="45" xfId="3" applyNumberFormat="1" applyFont="1" applyFill="1" applyBorder="1" applyAlignment="1">
      <alignment horizontal="center" vertical="center"/>
    </xf>
    <xf numFmtId="4" fontId="13" fillId="7" borderId="18" xfId="3" applyNumberFormat="1" applyFont="1" applyFill="1" applyBorder="1" applyAlignment="1">
      <alignment horizontal="center" vertical="center"/>
    </xf>
    <xf numFmtId="4" fontId="13" fillId="7" borderId="46" xfId="3" applyNumberFormat="1" applyFont="1" applyFill="1" applyBorder="1" applyAlignment="1">
      <alignment horizontal="center" vertical="center"/>
    </xf>
    <xf numFmtId="4" fontId="13" fillId="7" borderId="58" xfId="3" applyNumberFormat="1" applyFont="1" applyFill="1" applyBorder="1" applyAlignment="1">
      <alignment horizontal="center" vertical="center" wrapText="1"/>
    </xf>
    <xf numFmtId="4" fontId="13" fillId="7" borderId="90" xfId="3" applyNumberFormat="1" applyFont="1" applyFill="1" applyBorder="1" applyAlignment="1">
      <alignment horizontal="center" vertical="center" wrapText="1"/>
    </xf>
    <xf numFmtId="3" fontId="11" fillId="0" borderId="0" xfId="4" applyNumberFormat="1" applyFont="1" applyAlignment="1">
      <alignment horizontal="center" vertical="center"/>
    </xf>
    <xf numFmtId="0" fontId="75" fillId="8" borderId="15" xfId="0" applyFont="1" applyFill="1" applyBorder="1" applyAlignment="1">
      <alignment horizontal="left" vertical="center"/>
    </xf>
    <xf numFmtId="0" fontId="75" fillId="8" borderId="8" xfId="0" applyFont="1" applyFill="1" applyBorder="1" applyAlignment="1">
      <alignment horizontal="left" vertical="center"/>
    </xf>
    <xf numFmtId="0" fontId="23" fillId="7" borderId="18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4" fontId="23" fillId="7" borderId="48" xfId="5" applyNumberFormat="1" applyFont="1" applyFill="1" applyBorder="1" applyAlignment="1">
      <alignment horizontal="center" vertical="center" wrapText="1"/>
    </xf>
    <xf numFmtId="4" fontId="23" fillId="7" borderId="47" xfId="5" applyNumberFormat="1" applyFont="1" applyFill="1" applyBorder="1" applyAlignment="1">
      <alignment horizontal="center" vertical="center" wrapText="1"/>
    </xf>
    <xf numFmtId="4" fontId="11" fillId="7" borderId="36" xfId="3" applyNumberFormat="1" applyFont="1" applyFill="1" applyBorder="1" applyAlignment="1">
      <alignment horizontal="center" vertical="center" wrapText="1"/>
    </xf>
    <xf numFmtId="4" fontId="11" fillId="7" borderId="37" xfId="3" applyNumberFormat="1" applyFont="1" applyFill="1" applyBorder="1" applyAlignment="1">
      <alignment horizontal="center" vertical="center" wrapText="1"/>
    </xf>
    <xf numFmtId="4" fontId="11" fillId="7" borderId="38" xfId="3" applyNumberFormat="1" applyFont="1" applyFill="1" applyBorder="1" applyAlignment="1">
      <alignment horizontal="center" vertical="center" wrapText="1"/>
    </xf>
    <xf numFmtId="10" fontId="11" fillId="7" borderId="24" xfId="3" applyNumberFormat="1" applyFont="1" applyFill="1" applyBorder="1" applyAlignment="1">
      <alignment horizontal="center" vertical="center" wrapText="1"/>
    </xf>
    <xf numFmtId="10" fontId="11" fillId="7" borderId="9" xfId="3" applyNumberFormat="1" applyFont="1" applyFill="1" applyBorder="1" applyAlignment="1">
      <alignment horizontal="center" vertical="center" wrapText="1"/>
    </xf>
    <xf numFmtId="10" fontId="11" fillId="7" borderId="12" xfId="3" applyNumberFormat="1" applyFont="1" applyFill="1" applyBorder="1" applyAlignment="1">
      <alignment horizontal="center" vertical="center" wrapText="1"/>
    </xf>
    <xf numFmtId="4" fontId="11" fillId="7" borderId="27" xfId="5" applyNumberFormat="1" applyFont="1" applyFill="1" applyBorder="1" applyAlignment="1">
      <alignment horizontal="center" vertical="center" wrapText="1"/>
    </xf>
    <xf numFmtId="4" fontId="11" fillId="7" borderId="29" xfId="5" applyNumberFormat="1" applyFont="1" applyFill="1" applyBorder="1" applyAlignment="1">
      <alignment horizontal="center" vertical="center" wrapText="1"/>
    </xf>
    <xf numFmtId="4" fontId="11" fillId="7" borderId="34" xfId="5" applyNumberFormat="1" applyFont="1" applyFill="1" applyBorder="1" applyAlignment="1">
      <alignment horizontal="center" vertical="center" wrapText="1"/>
    </xf>
    <xf numFmtId="4" fontId="11" fillId="7" borderId="45" xfId="3" applyNumberFormat="1" applyFont="1" applyFill="1" applyBorder="1" applyAlignment="1">
      <alignment horizontal="center" vertical="center" wrapText="1"/>
    </xf>
    <xf numFmtId="4" fontId="11" fillId="7" borderId="18" xfId="3" applyNumberFormat="1" applyFont="1" applyFill="1" applyBorder="1" applyAlignment="1">
      <alignment horizontal="center" vertical="center" wrapText="1"/>
    </xf>
    <xf numFmtId="4" fontId="11" fillId="7" borderId="46" xfId="3" applyNumberFormat="1" applyFont="1" applyFill="1" applyBorder="1" applyAlignment="1">
      <alignment horizontal="center" vertical="center" wrapText="1"/>
    </xf>
    <xf numFmtId="4" fontId="11" fillId="7" borderId="40" xfId="3" applyNumberFormat="1" applyFont="1" applyFill="1" applyBorder="1" applyAlignment="1">
      <alignment horizontal="center" vertical="center" wrapText="1"/>
    </xf>
    <xf numFmtId="4" fontId="11" fillId="7" borderId="41" xfId="3" applyNumberFormat="1" applyFont="1" applyFill="1" applyBorder="1" applyAlignment="1">
      <alignment horizontal="center" vertical="center" wrapText="1"/>
    </xf>
    <xf numFmtId="4" fontId="11" fillId="7" borderId="8" xfId="3" applyNumberFormat="1" applyFont="1" applyFill="1" applyBorder="1" applyAlignment="1">
      <alignment horizontal="center" vertical="center" wrapText="1"/>
    </xf>
    <xf numFmtId="4" fontId="11" fillId="7" borderId="11" xfId="3" applyNumberFormat="1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/>
    </xf>
    <xf numFmtId="0" fontId="16" fillId="7" borderId="18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4" fontId="16" fillId="7" borderId="48" xfId="5" applyNumberFormat="1" applyFont="1" applyFill="1" applyBorder="1" applyAlignment="1">
      <alignment horizontal="center" vertical="center" wrapText="1"/>
    </xf>
    <xf numFmtId="4" fontId="16" fillId="7" borderId="47" xfId="5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4" fontId="13" fillId="7" borderId="36" xfId="3" applyNumberFormat="1" applyFont="1" applyFill="1" applyBorder="1" applyAlignment="1">
      <alignment horizontal="center" vertical="center" wrapText="1"/>
    </xf>
    <xf numFmtId="4" fontId="13" fillId="7" borderId="37" xfId="3" applyNumberFormat="1" applyFont="1" applyFill="1" applyBorder="1" applyAlignment="1">
      <alignment horizontal="center" vertical="center" wrapText="1"/>
    </xf>
    <xf numFmtId="4" fontId="13" fillId="7" borderId="38" xfId="3" applyNumberFormat="1" applyFont="1" applyFill="1" applyBorder="1" applyAlignment="1">
      <alignment horizontal="center" vertical="center" wrapText="1"/>
    </xf>
    <xf numFmtId="4" fontId="21" fillId="7" borderId="40" xfId="3" applyNumberFormat="1" applyFont="1" applyFill="1" applyBorder="1" applyAlignment="1">
      <alignment horizontal="center" vertical="center" wrapText="1"/>
    </xf>
    <xf numFmtId="4" fontId="21" fillId="7" borderId="41" xfId="3" applyNumberFormat="1" applyFont="1" applyFill="1" applyBorder="1" applyAlignment="1">
      <alignment horizontal="center" vertical="center" wrapText="1"/>
    </xf>
    <xf numFmtId="4" fontId="13" fillId="7" borderId="27" xfId="5" applyNumberFormat="1" applyFont="1" applyFill="1" applyBorder="1" applyAlignment="1">
      <alignment horizontal="center" vertical="center" wrapText="1"/>
    </xf>
    <xf numFmtId="4" fontId="13" fillId="7" borderId="29" xfId="5" applyNumberFormat="1" applyFont="1" applyFill="1" applyBorder="1" applyAlignment="1">
      <alignment horizontal="center" vertical="center" wrapText="1"/>
    </xf>
    <xf numFmtId="4" fontId="13" fillId="7" borderId="34" xfId="5" applyNumberFormat="1" applyFont="1" applyFill="1" applyBorder="1" applyAlignment="1">
      <alignment horizontal="center" vertical="center" wrapText="1"/>
    </xf>
    <xf numFmtId="4" fontId="13" fillId="7" borderId="45" xfId="3" applyNumberFormat="1" applyFont="1" applyFill="1" applyBorder="1" applyAlignment="1">
      <alignment horizontal="center" vertical="center" wrapText="1"/>
    </xf>
    <xf numFmtId="4" fontId="13" fillId="7" borderId="18" xfId="3" applyNumberFormat="1" applyFont="1" applyFill="1" applyBorder="1" applyAlignment="1">
      <alignment horizontal="center" vertical="center" wrapText="1"/>
    </xf>
    <xf numFmtId="4" fontId="13" fillId="7" borderId="46" xfId="3" applyNumberFormat="1" applyFont="1" applyFill="1" applyBorder="1" applyAlignment="1">
      <alignment horizontal="center" vertical="center" wrapText="1"/>
    </xf>
    <xf numFmtId="4" fontId="13" fillId="7" borderId="18" xfId="0" applyNumberFormat="1" applyFont="1" applyFill="1" applyBorder="1" applyAlignment="1">
      <alignment horizontal="center" vertical="center" wrapText="1"/>
    </xf>
    <xf numFmtId="4" fontId="13" fillId="7" borderId="8" xfId="0" applyNumberFormat="1" applyFont="1" applyFill="1" applyBorder="1" applyAlignment="1">
      <alignment horizontal="center" vertical="center" wrapText="1"/>
    </xf>
    <xf numFmtId="4" fontId="13" fillId="7" borderId="11" xfId="0" applyNumberFormat="1" applyFont="1" applyFill="1" applyBorder="1" applyAlignment="1">
      <alignment horizontal="center" vertical="center" wrapText="1"/>
    </xf>
    <xf numFmtId="4" fontId="13" fillId="7" borderId="8" xfId="3" applyNumberFormat="1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4" fontId="11" fillId="7" borderId="26" xfId="0" applyNumberFormat="1" applyFont="1" applyFill="1" applyBorder="1" applyAlignment="1">
      <alignment horizontal="center" vertical="center" wrapText="1"/>
    </xf>
    <xf numFmtId="4" fontId="11" fillId="7" borderId="39" xfId="0" applyNumberFormat="1" applyFont="1" applyFill="1" applyBorder="1" applyAlignment="1">
      <alignment horizontal="center" vertical="center" wrapText="1"/>
    </xf>
    <xf numFmtId="4" fontId="11" fillId="7" borderId="19" xfId="0" applyNumberFormat="1" applyFont="1" applyFill="1" applyBorder="1" applyAlignment="1">
      <alignment horizontal="center" vertical="center" wrapText="1"/>
    </xf>
    <xf numFmtId="4" fontId="11" fillId="7" borderId="28" xfId="3" applyNumberFormat="1" applyFont="1" applyFill="1" applyBorder="1" applyAlignment="1">
      <alignment horizontal="center" vertical="center" wrapText="1"/>
    </xf>
    <xf numFmtId="4" fontId="11" fillId="7" borderId="2" xfId="3" applyNumberFormat="1" applyFont="1" applyFill="1" applyBorder="1" applyAlignment="1">
      <alignment horizontal="center" vertical="center" wrapText="1"/>
    </xf>
    <xf numFmtId="4" fontId="11" fillId="7" borderId="93" xfId="3" applyNumberFormat="1" applyFont="1" applyFill="1" applyBorder="1" applyAlignment="1">
      <alignment horizontal="center" vertical="center" wrapText="1"/>
    </xf>
    <xf numFmtId="4" fontId="11" fillId="7" borderId="33" xfId="3" applyNumberFormat="1" applyFont="1" applyFill="1" applyBorder="1" applyAlignment="1">
      <alignment horizontal="center" vertical="center" wrapText="1"/>
    </xf>
    <xf numFmtId="4" fontId="11" fillId="7" borderId="32" xfId="3" applyNumberFormat="1" applyFont="1" applyFill="1" applyBorder="1" applyAlignment="1">
      <alignment horizontal="center" vertical="center" wrapText="1"/>
    </xf>
    <xf numFmtId="4" fontId="11" fillId="7" borderId="75" xfId="3" applyNumberFormat="1" applyFont="1" applyFill="1" applyBorder="1" applyAlignment="1">
      <alignment horizontal="center" vertical="center" wrapText="1"/>
    </xf>
    <xf numFmtId="4" fontId="11" fillId="7" borderId="28" xfId="5" applyNumberFormat="1" applyFont="1" applyFill="1" applyBorder="1" applyAlignment="1">
      <alignment horizontal="center" vertical="center" wrapText="1"/>
    </xf>
    <xf numFmtId="4" fontId="11" fillId="7" borderId="54" xfId="5" applyNumberFormat="1" applyFont="1" applyFill="1" applyBorder="1" applyAlignment="1">
      <alignment horizontal="center" vertical="center" wrapText="1"/>
    </xf>
    <xf numFmtId="4" fontId="11" fillId="7" borderId="52" xfId="5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4" fontId="13" fillId="11" borderId="49" xfId="5" applyNumberFormat="1" applyFont="1" applyFill="1" applyBorder="1" applyAlignment="1">
      <alignment horizontal="center" vertical="center" wrapText="1"/>
    </xf>
    <xf numFmtId="4" fontId="13" fillId="11" borderId="112" xfId="5" applyNumberFormat="1" applyFont="1" applyFill="1" applyBorder="1" applyAlignment="1">
      <alignment horizontal="center" vertical="center" wrapText="1"/>
    </xf>
    <xf numFmtId="0" fontId="16" fillId="11" borderId="56" xfId="0" applyFont="1" applyFill="1" applyBorder="1" applyAlignment="1">
      <alignment horizontal="center" vertical="center" wrapText="1"/>
    </xf>
    <xf numFmtId="0" fontId="16" fillId="11" borderId="53" xfId="0" applyFont="1" applyFill="1" applyBorder="1" applyAlignment="1">
      <alignment horizontal="center" vertical="center" wrapText="1"/>
    </xf>
    <xf numFmtId="0" fontId="16" fillId="11" borderId="57" xfId="0" applyFont="1" applyFill="1" applyBorder="1" applyAlignment="1">
      <alignment horizontal="center" vertical="center" wrapText="1"/>
    </xf>
    <xf numFmtId="4" fontId="13" fillId="11" borderId="108" xfId="3" applyNumberFormat="1" applyFont="1" applyFill="1" applyBorder="1" applyAlignment="1">
      <alignment horizontal="center" vertical="center" wrapText="1"/>
    </xf>
    <xf numFmtId="4" fontId="13" fillId="11" borderId="109" xfId="3" applyNumberFormat="1" applyFont="1" applyFill="1" applyBorder="1" applyAlignment="1">
      <alignment horizontal="center" vertical="center" wrapText="1"/>
    </xf>
    <xf numFmtId="4" fontId="13" fillId="11" borderId="3" xfId="3" applyNumberFormat="1" applyFont="1" applyFill="1" applyBorder="1" applyAlignment="1">
      <alignment horizontal="center" vertical="center" wrapText="1"/>
    </xf>
    <xf numFmtId="4" fontId="13" fillId="11" borderId="5" xfId="3" applyNumberFormat="1" applyFont="1" applyFill="1" applyBorder="1" applyAlignment="1">
      <alignment horizontal="center" vertical="center" wrapText="1"/>
    </xf>
    <xf numFmtId="4" fontId="13" fillId="11" borderId="7" xfId="3" applyNumberFormat="1" applyFont="1" applyFill="1" applyBorder="1" applyAlignment="1">
      <alignment horizontal="center" vertical="center" wrapText="1"/>
    </xf>
    <xf numFmtId="0" fontId="20" fillId="11" borderId="18" xfId="0" applyFont="1" applyFill="1" applyBorder="1" applyAlignment="1">
      <alignment horizontal="center" vertical="center" wrapText="1"/>
    </xf>
    <xf numFmtId="0" fontId="20" fillId="11" borderId="39" xfId="0" applyFont="1" applyFill="1" applyBorder="1" applyAlignment="1">
      <alignment horizontal="center" vertical="center" wrapText="1"/>
    </xf>
    <xf numFmtId="0" fontId="20" fillId="11" borderId="11" xfId="0" applyFont="1" applyFill="1" applyBorder="1" applyAlignment="1">
      <alignment horizontal="center" vertical="center" wrapText="1"/>
    </xf>
    <xf numFmtId="0" fontId="16" fillId="11" borderId="18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wrapText="1"/>
    </xf>
    <xf numFmtId="4" fontId="16" fillId="11" borderId="27" xfId="5" applyNumberFormat="1" applyFont="1" applyFill="1" applyBorder="1" applyAlignment="1">
      <alignment horizontal="center" vertical="center" wrapText="1"/>
    </xf>
    <xf numFmtId="4" fontId="16" fillId="11" borderId="29" xfId="5" applyNumberFormat="1" applyFont="1" applyFill="1" applyBorder="1" applyAlignment="1">
      <alignment horizontal="center" vertical="center" wrapText="1"/>
    </xf>
    <xf numFmtId="4" fontId="16" fillId="11" borderId="34" xfId="5" applyNumberFormat="1" applyFont="1" applyFill="1" applyBorder="1" applyAlignment="1">
      <alignment horizontal="center" vertical="center" wrapText="1"/>
    </xf>
    <xf numFmtId="0" fontId="20" fillId="11" borderId="27" xfId="0" applyFont="1" applyFill="1" applyBorder="1" applyAlignment="1">
      <alignment horizontal="center" vertical="center" wrapText="1"/>
    </xf>
    <xf numFmtId="0" fontId="20" fillId="11" borderId="54" xfId="0" applyFont="1" applyFill="1" applyBorder="1" applyAlignment="1">
      <alignment horizontal="center" vertical="center" wrapText="1"/>
    </xf>
    <xf numFmtId="0" fontId="20" fillId="11" borderId="34" xfId="0" applyFont="1" applyFill="1" applyBorder="1" applyAlignment="1">
      <alignment horizontal="center" vertical="center" wrapText="1"/>
    </xf>
    <xf numFmtId="0" fontId="16" fillId="11" borderId="11" xfId="0" applyFont="1" applyFill="1" applyBorder="1" applyAlignment="1">
      <alignment horizontal="center" vertical="center" wrapText="1"/>
    </xf>
    <xf numFmtId="4" fontId="13" fillId="11" borderId="107" xfId="3" applyNumberFormat="1" applyFont="1" applyFill="1" applyBorder="1" applyAlignment="1">
      <alignment horizontal="center" vertical="center" wrapText="1"/>
    </xf>
    <xf numFmtId="4" fontId="13" fillId="11" borderId="18" xfId="3" applyNumberFormat="1" applyFont="1" applyFill="1" applyBorder="1" applyAlignment="1">
      <alignment horizontal="center" vertical="center" wrapText="1"/>
    </xf>
    <xf numFmtId="4" fontId="13" fillId="11" borderId="102" xfId="3" applyNumberFormat="1" applyFont="1" applyFill="1" applyBorder="1" applyAlignment="1">
      <alignment horizontal="center" vertical="center" wrapText="1"/>
    </xf>
    <xf numFmtId="165" fontId="13" fillId="11" borderId="103" xfId="3" applyNumberFormat="1" applyFont="1" applyFill="1" applyBorder="1" applyAlignment="1">
      <alignment horizontal="center" vertical="center" wrapText="1"/>
    </xf>
    <xf numFmtId="165" fontId="13" fillId="11" borderId="104" xfId="3" applyNumberFormat="1" applyFont="1" applyFill="1" applyBorder="1" applyAlignment="1">
      <alignment horizontal="center" vertical="center" wrapText="1"/>
    </xf>
    <xf numFmtId="4" fontId="13" fillId="11" borderId="29" xfId="3" applyNumberFormat="1" applyFont="1" applyFill="1" applyBorder="1" applyAlignment="1">
      <alignment horizontal="center" vertical="center" wrapText="1"/>
    </xf>
    <xf numFmtId="4" fontId="13" fillId="11" borderId="34" xfId="3" applyNumberFormat="1" applyFont="1" applyFill="1" applyBorder="1" applyAlignment="1">
      <alignment horizontal="center" vertical="center" wrapText="1"/>
    </xf>
    <xf numFmtId="4" fontId="13" fillId="11" borderId="8" xfId="3" applyNumberFormat="1" applyFont="1" applyFill="1" applyBorder="1" applyAlignment="1">
      <alignment horizontal="center" vertical="center" wrapText="1"/>
    </xf>
    <xf numFmtId="4" fontId="13" fillId="11" borderId="11" xfId="3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3" fontId="56" fillId="7" borderId="39" xfId="0" applyNumberFormat="1" applyFont="1" applyFill="1" applyBorder="1" applyAlignment="1" applyProtection="1">
      <alignment horizontal="center" vertical="center"/>
      <protection locked="0"/>
    </xf>
    <xf numFmtId="0" fontId="56" fillId="7" borderId="72" xfId="0" applyFont="1" applyFill="1" applyBorder="1" applyAlignment="1" applyProtection="1">
      <alignment horizontal="center" vertical="center"/>
      <protection locked="0"/>
    </xf>
    <xf numFmtId="0" fontId="56" fillId="7" borderId="39" xfId="0" applyFont="1" applyFill="1" applyBorder="1" applyAlignment="1" applyProtection="1">
      <alignment horizontal="center" vertical="center"/>
      <protection locked="0"/>
    </xf>
    <xf numFmtId="0" fontId="21" fillId="11" borderId="61" xfId="0" applyFont="1" applyFill="1" applyBorder="1" applyAlignment="1" applyProtection="1">
      <alignment horizontal="center" vertical="center"/>
      <protection locked="0"/>
    </xf>
    <xf numFmtId="0" fontId="21" fillId="11" borderId="63" xfId="0" applyFont="1" applyFill="1" applyBorder="1" applyAlignment="1" applyProtection="1">
      <alignment horizontal="center" vertical="center"/>
      <protection locked="0"/>
    </xf>
    <xf numFmtId="0" fontId="21" fillId="11" borderId="64" xfId="0" applyFont="1" applyFill="1" applyBorder="1" applyAlignment="1" applyProtection="1">
      <alignment horizontal="center" vertical="center"/>
      <protection locked="0"/>
    </xf>
    <xf numFmtId="4" fontId="80" fillId="11" borderId="61" xfId="0" applyNumberFormat="1" applyFont="1" applyFill="1" applyBorder="1" applyAlignment="1">
      <alignment horizontal="center" vertical="center"/>
    </xf>
    <xf numFmtId="4" fontId="80" fillId="11" borderId="63" xfId="0" applyNumberFormat="1" applyFont="1" applyFill="1" applyBorder="1" applyAlignment="1">
      <alignment horizontal="center" vertical="center"/>
    </xf>
    <xf numFmtId="4" fontId="80" fillId="11" borderId="64" xfId="0" applyNumberFormat="1" applyFont="1" applyFill="1" applyBorder="1" applyAlignment="1">
      <alignment horizontal="center" vertical="center"/>
    </xf>
    <xf numFmtId="4" fontId="80" fillId="11" borderId="56" xfId="0" applyNumberFormat="1" applyFont="1" applyFill="1" applyBorder="1" applyAlignment="1">
      <alignment horizontal="center" vertical="center" wrapText="1"/>
    </xf>
    <xf numFmtId="4" fontId="80" fillId="11" borderId="26" xfId="0" applyNumberFormat="1" applyFont="1" applyFill="1" applyBorder="1" applyAlignment="1">
      <alignment horizontal="center" vertical="center" wrapText="1"/>
    </xf>
    <xf numFmtId="4" fontId="80" fillId="11" borderId="76" xfId="0" applyNumberFormat="1" applyFont="1" applyFill="1" applyBorder="1" applyAlignment="1">
      <alignment horizontal="center" vertical="center" wrapText="1"/>
    </xf>
    <xf numFmtId="0" fontId="80" fillId="11" borderId="1" xfId="0" applyFont="1" applyFill="1" applyBorder="1" applyAlignment="1">
      <alignment horizontal="center" vertical="center" wrapText="1"/>
    </xf>
    <xf numFmtId="0" fontId="80" fillId="11" borderId="2" xfId="0" applyFont="1" applyFill="1" applyBorder="1" applyAlignment="1">
      <alignment horizontal="center" vertical="center" wrapText="1"/>
    </xf>
    <xf numFmtId="0" fontId="80" fillId="11" borderId="3" xfId="0" applyFont="1" applyFill="1" applyBorder="1" applyAlignment="1">
      <alignment horizontal="center" vertical="center" wrapText="1"/>
    </xf>
    <xf numFmtId="0" fontId="80" fillId="11" borderId="56" xfId="0" applyFont="1" applyFill="1" applyBorder="1" applyAlignment="1">
      <alignment horizontal="center" vertical="center"/>
    </xf>
    <xf numFmtId="0" fontId="80" fillId="11" borderId="26" xfId="0" applyFont="1" applyFill="1" applyBorder="1" applyAlignment="1">
      <alignment horizontal="center" vertical="center"/>
    </xf>
    <xf numFmtId="0" fontId="80" fillId="11" borderId="7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4" fontId="46" fillId="2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2" fontId="23" fillId="11" borderId="23" xfId="0" applyNumberFormat="1" applyFont="1" applyFill="1" applyBorder="1" applyAlignment="1">
      <alignment horizontal="center"/>
    </xf>
    <xf numFmtId="2" fontId="23" fillId="11" borderId="18" xfId="0" applyNumberFormat="1" applyFont="1" applyFill="1" applyBorder="1" applyAlignment="1">
      <alignment horizontal="center"/>
    </xf>
    <xf numFmtId="2" fontId="23" fillId="11" borderId="27" xfId="0" applyNumberFormat="1" applyFont="1" applyFill="1" applyBorder="1" applyAlignment="1">
      <alignment horizontal="center"/>
    </xf>
    <xf numFmtId="2" fontId="23" fillId="11" borderId="23" xfId="0" applyNumberFormat="1" applyFont="1" applyFill="1" applyBorder="1" applyAlignment="1">
      <alignment horizontal="center" vertical="center" wrapText="1"/>
    </xf>
    <xf numFmtId="2" fontId="23" fillId="11" borderId="24" xfId="0" applyNumberFormat="1" applyFont="1" applyFill="1" applyBorder="1" applyAlignment="1">
      <alignment horizontal="center" vertical="center" wrapText="1"/>
    </xf>
    <xf numFmtId="2" fontId="23" fillId="11" borderId="36" xfId="0" applyNumberFormat="1" applyFont="1" applyFill="1" applyBorder="1" applyAlignment="1">
      <alignment horizontal="center"/>
    </xf>
    <xf numFmtId="2" fontId="23" fillId="11" borderId="24" xfId="0" applyNumberFormat="1" applyFont="1" applyFill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12" fillId="0" borderId="56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2" fontId="12" fillId="2" borderId="18" xfId="3" applyNumberFormat="1" applyFont="1" applyFill="1" applyBorder="1" applyAlignment="1">
      <alignment horizontal="center" vertical="center" wrapText="1"/>
    </xf>
    <xf numFmtId="2" fontId="12" fillId="2" borderId="8" xfId="3" applyNumberFormat="1" applyFont="1" applyFill="1" applyBorder="1" applyAlignment="1">
      <alignment horizontal="center" vertical="center" wrapText="1"/>
    </xf>
    <xf numFmtId="2" fontId="12" fillId="2" borderId="11" xfId="3" applyNumberFormat="1" applyFont="1" applyFill="1" applyBorder="1" applyAlignment="1">
      <alignment horizontal="center" vertical="center" wrapText="1"/>
    </xf>
    <xf numFmtId="2" fontId="12" fillId="2" borderId="24" xfId="3" applyNumberFormat="1" applyFont="1" applyFill="1" applyBorder="1" applyAlignment="1">
      <alignment horizontal="center" vertical="center" wrapText="1"/>
    </xf>
    <xf numFmtId="2" fontId="12" fillId="2" borderId="9" xfId="3" applyNumberFormat="1" applyFont="1" applyFill="1" applyBorder="1" applyAlignment="1">
      <alignment horizontal="center" vertical="center" wrapText="1"/>
    </xf>
    <xf numFmtId="2" fontId="12" fillId="2" borderId="12" xfId="3" applyNumberFormat="1" applyFont="1" applyFill="1" applyBorder="1" applyAlignment="1">
      <alignment horizontal="center" vertical="center" wrapText="1"/>
    </xf>
    <xf numFmtId="4" fontId="12" fillId="0" borderId="26" xfId="0" applyNumberFormat="1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2" fontId="12" fillId="0" borderId="13" xfId="3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2" fontId="12" fillId="0" borderId="14" xfId="6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4" fontId="12" fillId="0" borderId="26" xfId="0" applyNumberFormat="1" applyFont="1" applyBorder="1" applyAlignment="1">
      <alignment horizontal="right" vertical="center" wrapText="1"/>
    </xf>
    <xf numFmtId="4" fontId="12" fillId="0" borderId="39" xfId="0" applyNumberFormat="1" applyFont="1" applyBorder="1" applyAlignment="1">
      <alignment horizontal="right" vertical="center" wrapText="1"/>
    </xf>
    <xf numFmtId="4" fontId="12" fillId="0" borderId="19" xfId="0" applyNumberFormat="1" applyFont="1" applyBorder="1" applyAlignment="1">
      <alignment horizontal="right" vertical="center" wrapText="1"/>
    </xf>
    <xf numFmtId="2" fontId="12" fillId="2" borderId="33" xfId="3" applyNumberFormat="1" applyFont="1" applyFill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2" fontId="12" fillId="2" borderId="13" xfId="3" applyNumberFormat="1" applyFont="1" applyFill="1" applyBorder="1" applyAlignment="1">
      <alignment horizontal="center" vertical="center" wrapText="1"/>
    </xf>
    <xf numFmtId="2" fontId="12" fillId="2" borderId="15" xfId="3" applyNumberFormat="1" applyFont="1" applyFill="1" applyBorder="1" applyAlignment="1">
      <alignment horizontal="center" vertical="center" wrapText="1"/>
    </xf>
    <xf numFmtId="2" fontId="12" fillId="2" borderId="16" xfId="3" applyNumberFormat="1" applyFont="1" applyFill="1" applyBorder="1" applyAlignment="1">
      <alignment horizontal="center" vertical="center" wrapText="1"/>
    </xf>
    <xf numFmtId="2" fontId="12" fillId="2" borderId="14" xfId="3" applyNumberFormat="1" applyFont="1" applyFill="1" applyBorder="1" applyAlignment="1">
      <alignment horizontal="left" vertical="center" wrapText="1"/>
    </xf>
    <xf numFmtId="2" fontId="12" fillId="2" borderId="8" xfId="3" applyNumberFormat="1" applyFont="1" applyFill="1" applyBorder="1" applyAlignment="1">
      <alignment horizontal="left" vertical="center" wrapText="1"/>
    </xf>
    <xf numFmtId="2" fontId="12" fillId="2" borderId="17" xfId="3" applyNumberFormat="1" applyFont="1" applyFill="1" applyBorder="1" applyAlignment="1">
      <alignment horizontal="left" vertical="center" wrapText="1"/>
    </xf>
    <xf numFmtId="2" fontId="12" fillId="2" borderId="72" xfId="3" applyNumberFormat="1" applyFont="1" applyFill="1" applyBorder="1" applyAlignment="1">
      <alignment horizontal="left" vertical="center" wrapText="1"/>
    </xf>
    <xf numFmtId="2" fontId="12" fillId="2" borderId="78" xfId="3" applyNumberFormat="1" applyFont="1" applyFill="1" applyBorder="1" applyAlignment="1">
      <alignment horizontal="left" vertical="center" wrapText="1"/>
    </xf>
    <xf numFmtId="0" fontId="16" fillId="7" borderId="63" xfId="0" applyFont="1" applyFill="1" applyBorder="1" applyAlignment="1">
      <alignment horizontal="center"/>
    </xf>
    <xf numFmtId="0" fontId="16" fillId="7" borderId="64" xfId="0" applyFont="1" applyFill="1" applyBorder="1" applyAlignment="1">
      <alignment horizontal="center"/>
    </xf>
    <xf numFmtId="3" fontId="20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4" fontId="21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7" borderId="23" xfId="0" applyFont="1" applyFill="1" applyBorder="1" applyAlignment="1">
      <alignment horizontal="center"/>
    </xf>
    <xf numFmtId="0" fontId="16" fillId="7" borderId="18" xfId="0" applyFont="1" applyFill="1" applyBorder="1" applyAlignment="1">
      <alignment horizontal="center"/>
    </xf>
    <xf numFmtId="0" fontId="16" fillId="7" borderId="24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70" fillId="11" borderId="6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6" borderId="60" xfId="0" applyFont="1" applyFill="1" applyBorder="1" applyAlignment="1">
      <alignment horizontal="center" vertical="center"/>
    </xf>
  </cellXfs>
  <cellStyles count="11">
    <cellStyle name="Millares" xfId="5" builtinId="3"/>
    <cellStyle name="Normal" xfId="0" builtinId="0"/>
    <cellStyle name="Normal 2" xfId="1" xr:uid="{00000000-0005-0000-0000-000001000000}"/>
    <cellStyle name="Normal 2 2" xfId="6" xr:uid="{77F22B6A-6A99-4BC7-8DFC-33C81F9CC684}"/>
    <cellStyle name="Normal 3" xfId="2" xr:uid="{00000000-0005-0000-0000-000002000000}"/>
    <cellStyle name="Normal 6" xfId="8" xr:uid="{A4A3148D-185E-4CB8-A0CC-5EED2F0A7BB2}"/>
    <cellStyle name="Normal 7" xfId="9" xr:uid="{BFED7FFA-465C-4A0C-9F57-085998393A4D}"/>
    <cellStyle name="Normal 9" xfId="7" xr:uid="{478FA631-4573-42DB-9370-3EB56D01D225}"/>
    <cellStyle name="Normal_EJECONS2003" xfId="3" xr:uid="{00000000-0005-0000-0000-000003000000}"/>
    <cellStyle name="Normal_EJECUC99" xfId="4" xr:uid="{00000000-0005-0000-0000-000004000000}"/>
    <cellStyle name="Porcentaje" xfId="10" builtinId="5"/>
  </cellStyles>
  <dxfs count="0"/>
  <tableStyles count="0" defaultTableStyle="TableStyleMedium9" defaultPivotStyle="PivotStyleLight16"/>
  <colors>
    <mruColors>
      <color rgb="FFF79F57"/>
      <color rgb="FFFFFF99"/>
      <color rgb="FFFFFFCC"/>
      <color rgb="FFFCD9BC"/>
      <color rgb="FF97FFFF"/>
      <color rgb="FFAFFFFF"/>
      <color rgb="FFFFFF66"/>
      <color rgb="FFFFFFFF"/>
      <color rgb="FFCDFFFF"/>
      <color rgb="FFE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61233</xdr:rowOff>
    </xdr:from>
    <xdr:to>
      <xdr:col>1</xdr:col>
      <xdr:colOff>1513379</xdr:colOff>
      <xdr:row>5</xdr:row>
      <xdr:rowOff>72468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C5C572-B50B-4DD0-9165-07B4F5152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9447"/>
          <a:ext cx="2247348" cy="6439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2</xdr:col>
      <xdr:colOff>435701</xdr:colOff>
      <xdr:row>6</xdr:row>
      <xdr:rowOff>17520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DC6A59-45B9-4F6D-A13C-77F343C5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19100"/>
          <a:ext cx="3116036" cy="7947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2</xdr:row>
      <xdr:rowOff>24765</xdr:rowOff>
    </xdr:from>
    <xdr:to>
      <xdr:col>2</xdr:col>
      <xdr:colOff>1714501</xdr:colOff>
      <xdr:row>5</xdr:row>
      <xdr:rowOff>26683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52C7BD-220F-4727-A57C-325842DA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329565"/>
          <a:ext cx="2362200" cy="672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82777</xdr:rowOff>
    </xdr:from>
    <xdr:to>
      <xdr:col>2</xdr:col>
      <xdr:colOff>1406866</xdr:colOff>
      <xdr:row>6</xdr:row>
      <xdr:rowOff>92826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F3B76B-728A-4D0A-BFAC-4E20258B2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3956"/>
          <a:ext cx="2601984" cy="8405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127000</xdr:rowOff>
    </xdr:from>
    <xdr:to>
      <xdr:col>2</xdr:col>
      <xdr:colOff>1463130</xdr:colOff>
      <xdr:row>6</xdr:row>
      <xdr:rowOff>171883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0E3DC8-DE60-4011-9FE0-8FE092F95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9900"/>
          <a:ext cx="2782660" cy="7973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1584415</xdr:colOff>
      <xdr:row>6</xdr:row>
      <xdr:rowOff>20118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C0B3AC-423A-455A-B7A4-FAF90BEE6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5"/>
          <a:ext cx="2782660" cy="7973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</xdr:colOff>
      <xdr:row>2</xdr:row>
      <xdr:rowOff>156482</xdr:rowOff>
    </xdr:from>
    <xdr:to>
      <xdr:col>3</xdr:col>
      <xdr:colOff>282043</xdr:colOff>
      <xdr:row>6</xdr:row>
      <xdr:rowOff>170192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1C8A5B-EB96-41A5-94F3-D5434B79C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" y="496661"/>
          <a:ext cx="3116036" cy="7947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21781</xdr:colOff>
      <xdr:row>2</xdr:row>
      <xdr:rowOff>1</xdr:rowOff>
    </xdr:from>
    <xdr:to>
      <xdr:col>0</xdr:col>
      <xdr:colOff>2187962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4FDA22-80A4-4378-8DBB-8711300A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1" y="285751"/>
          <a:ext cx="2160466" cy="5861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904118</xdr:colOff>
      <xdr:row>3</xdr:row>
      <xdr:rowOff>80808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89372E-B084-4A9C-AAC3-4FE80B30D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50630" cy="800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163871</xdr:rowOff>
    </xdr:from>
    <xdr:to>
      <xdr:col>2</xdr:col>
      <xdr:colOff>1142210</xdr:colOff>
      <xdr:row>5</xdr:row>
      <xdr:rowOff>170719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5F886B-FFF3-48EC-B6D5-1FD44FD73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8468"/>
          <a:ext cx="3116036" cy="7947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0</xdr:row>
      <xdr:rowOff>180975</xdr:rowOff>
    </xdr:from>
    <xdr:to>
      <xdr:col>3</xdr:col>
      <xdr:colOff>882015</xdr:colOff>
      <xdr:row>4</xdr:row>
      <xdr:rowOff>60770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D95D13-5C63-4C70-951E-F55F9A409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180975"/>
          <a:ext cx="2546985" cy="6798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olanom/Desktop/ESCRITORIO/EJERCICIO%20ECON.%202020/INFORMES%20EXTERNOS%202020/INFORME%20DE%20%20EJECUCION%20I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P. Act. Centrales"/>
      <sheetName val="P. Atención Int."/>
      <sheetName val="P.Incidencia y G."/>
      <sheetName val="CONSOLIDADO"/>
      <sheetName val="LIQ. TOTAL"/>
      <sheetName val="Inf. y Pub."/>
      <sheetName val="E Superávit"/>
      <sheetName val="O y Aplic"/>
      <sheetName val="Por fuente F."/>
      <sheetName val="Acuer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J15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41"/>
  <sheetViews>
    <sheetView topLeftCell="C18" zoomScale="140" zoomScaleNormal="140" workbookViewId="0">
      <selection sqref="A1:L39"/>
    </sheetView>
  </sheetViews>
  <sheetFormatPr baseColWidth="10" defaultColWidth="12" defaultRowHeight="12" x14ac:dyDescent="0.25"/>
  <cols>
    <col min="1" max="1" width="11.28515625" style="2" customWidth="1"/>
    <col min="2" max="2" width="30" style="1" customWidth="1"/>
    <col min="3" max="3" width="18.85546875" style="3" customWidth="1"/>
    <col min="4" max="4" width="16.42578125" style="3" hidden="1" customWidth="1"/>
    <col min="5" max="5" width="20" style="3" customWidth="1"/>
    <col min="6" max="6" width="18.140625" style="5" bestFit="1" customWidth="1"/>
    <col min="7" max="7" width="18.140625" style="4" customWidth="1"/>
    <col min="8" max="8" width="18.140625" style="4" bestFit="1" customWidth="1"/>
    <col min="9" max="9" width="18.140625" style="4" customWidth="1"/>
    <col min="10" max="10" width="17.7109375" style="5" customWidth="1"/>
    <col min="11" max="11" width="11" style="12" customWidth="1"/>
    <col min="12" max="12" width="20" style="4" customWidth="1"/>
    <col min="13" max="13" width="12" style="1"/>
    <col min="14" max="14" width="16.7109375" style="1" bestFit="1" customWidth="1"/>
    <col min="15" max="15" width="13.85546875" style="1" bestFit="1" customWidth="1"/>
    <col min="16" max="16384" width="12" style="1"/>
  </cols>
  <sheetData>
    <row r="1" spans="1:12" ht="15.75" customHeight="1" x14ac:dyDescent="0.3">
      <c r="A1" s="774"/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</row>
    <row r="2" spans="1:12" s="31" customFormat="1" ht="16.5" customHeight="1" x14ac:dyDescent="0.2">
      <c r="A2" s="38"/>
      <c r="B2" s="38"/>
      <c r="D2" s="186"/>
      <c r="E2" s="788" t="s">
        <v>0</v>
      </c>
      <c r="F2" s="788"/>
      <c r="G2" s="788"/>
      <c r="H2" s="788"/>
      <c r="I2" s="788"/>
      <c r="J2" s="788"/>
      <c r="K2" s="788"/>
      <c r="L2" s="788"/>
    </row>
    <row r="3" spans="1:12" s="31" customFormat="1" ht="16.5" customHeight="1" x14ac:dyDescent="0.2">
      <c r="A3" s="38"/>
      <c r="B3" s="38"/>
      <c r="D3" s="186"/>
      <c r="E3" s="788" t="s">
        <v>276</v>
      </c>
      <c r="F3" s="788"/>
      <c r="G3" s="788"/>
      <c r="H3" s="788"/>
      <c r="I3" s="788"/>
      <c r="J3" s="788"/>
      <c r="K3" s="788"/>
      <c r="L3" s="788"/>
    </row>
    <row r="4" spans="1:12" s="31" customFormat="1" ht="16.5" customHeight="1" x14ac:dyDescent="0.2">
      <c r="A4" s="38"/>
      <c r="B4" s="38"/>
      <c r="D4" s="186"/>
      <c r="E4" s="788" t="s">
        <v>1</v>
      </c>
      <c r="F4" s="788"/>
      <c r="G4" s="788" t="s">
        <v>1</v>
      </c>
      <c r="H4" s="788"/>
      <c r="I4" s="788"/>
      <c r="J4" s="788"/>
      <c r="K4" s="788"/>
      <c r="L4" s="788"/>
    </row>
    <row r="5" spans="1:12" s="31" customFormat="1" ht="16.5" customHeight="1" x14ac:dyDescent="0.2">
      <c r="A5" s="38"/>
      <c r="B5" s="38"/>
      <c r="D5" s="186"/>
      <c r="E5" s="220"/>
      <c r="F5" s="220"/>
      <c r="G5" s="220"/>
      <c r="H5" s="220"/>
      <c r="I5" s="220"/>
      <c r="J5" s="220"/>
      <c r="K5" s="220"/>
      <c r="L5" s="220"/>
    </row>
    <row r="6" spans="1:12" s="31" customFormat="1" ht="16.5" customHeight="1" x14ac:dyDescent="0.2">
      <c r="A6" s="38"/>
      <c r="B6" s="38"/>
      <c r="D6" s="186"/>
      <c r="E6" s="788" t="s">
        <v>513</v>
      </c>
      <c r="F6" s="788"/>
      <c r="G6" s="788"/>
      <c r="H6" s="788"/>
      <c r="I6" s="788"/>
      <c r="J6" s="788"/>
      <c r="K6" s="788"/>
      <c r="L6" s="788"/>
    </row>
    <row r="7" spans="1:12" s="31" customFormat="1" ht="16.5" customHeight="1" x14ac:dyDescent="0.2">
      <c r="A7" s="38"/>
      <c r="B7" s="38"/>
      <c r="D7" s="39"/>
      <c r="E7" s="788"/>
      <c r="F7" s="788"/>
      <c r="G7" s="788"/>
      <c r="H7" s="788"/>
      <c r="I7" s="788"/>
      <c r="J7" s="788"/>
      <c r="K7" s="788"/>
      <c r="L7" s="788"/>
    </row>
    <row r="8" spans="1:12" s="57" customFormat="1" ht="17.25" customHeight="1" x14ac:dyDescent="0.2">
      <c r="A8" s="779" t="s">
        <v>2</v>
      </c>
      <c r="B8" s="775" t="s">
        <v>3</v>
      </c>
      <c r="C8" s="777" t="s">
        <v>229</v>
      </c>
      <c r="D8" s="777" t="s">
        <v>277</v>
      </c>
      <c r="E8" s="781" t="s">
        <v>5</v>
      </c>
      <c r="F8" s="783" t="s">
        <v>6</v>
      </c>
      <c r="G8" s="784"/>
      <c r="H8" s="784"/>
      <c r="I8" s="784"/>
      <c r="J8" s="784"/>
      <c r="K8" s="785"/>
      <c r="L8" s="786" t="s">
        <v>7</v>
      </c>
    </row>
    <row r="9" spans="1:12" s="57" customFormat="1" ht="28.8" x14ac:dyDescent="0.2">
      <c r="A9" s="780"/>
      <c r="B9" s="776"/>
      <c r="C9" s="778"/>
      <c r="D9" s="778"/>
      <c r="E9" s="782"/>
      <c r="F9" s="408" t="s">
        <v>8</v>
      </c>
      <c r="G9" s="409" t="s">
        <v>509</v>
      </c>
      <c r="H9" s="409" t="s">
        <v>510</v>
      </c>
      <c r="I9" s="409" t="s">
        <v>511</v>
      </c>
      <c r="J9" s="410" t="s">
        <v>9</v>
      </c>
      <c r="K9" s="411" t="s">
        <v>10</v>
      </c>
      <c r="L9" s="787"/>
    </row>
    <row r="10" spans="1:12" s="60" customFormat="1" ht="15.75" customHeight="1" x14ac:dyDescent="0.2">
      <c r="A10" s="58"/>
      <c r="B10" s="300"/>
      <c r="C10" s="59"/>
      <c r="D10" s="59"/>
      <c r="E10" s="212"/>
      <c r="F10" s="301"/>
      <c r="G10" s="302"/>
      <c r="H10" s="302"/>
      <c r="I10" s="302"/>
      <c r="J10" s="302"/>
      <c r="K10" s="303"/>
      <c r="L10" s="304"/>
    </row>
    <row r="11" spans="1:12" s="60" customFormat="1" ht="15.75" customHeight="1" x14ac:dyDescent="0.2">
      <c r="A11" s="319">
        <v>1</v>
      </c>
      <c r="B11" s="281" t="s">
        <v>11</v>
      </c>
      <c r="C11" s="107">
        <f t="shared" ref="C11:E11" si="0">C13+C22</f>
        <v>16028835601</v>
      </c>
      <c r="D11" s="107">
        <f t="shared" si="0"/>
        <v>0</v>
      </c>
      <c r="E11" s="213">
        <f t="shared" si="0"/>
        <v>16028835601</v>
      </c>
      <c r="F11" s="295">
        <v>4014078144.8299999</v>
      </c>
      <c r="G11" s="107">
        <v>1338922238.8199999</v>
      </c>
      <c r="H11" s="107">
        <v>1336729304.2</v>
      </c>
      <c r="I11" s="107">
        <f t="shared" ref="I11" si="1">I13+I22</f>
        <v>1337905454.97</v>
      </c>
      <c r="J11" s="107">
        <f t="shared" ref="J11" si="2">J13+J22</f>
        <v>8027635142.8199997</v>
      </c>
      <c r="K11" s="108">
        <f>J11/E11</f>
        <v>0.50082459778420685</v>
      </c>
      <c r="L11" s="289">
        <f>L13+L22</f>
        <v>-8001200458.1800003</v>
      </c>
    </row>
    <row r="12" spans="1:12" s="60" customFormat="1" ht="15.75" customHeight="1" x14ac:dyDescent="0.2">
      <c r="A12" s="319"/>
      <c r="B12" s="281"/>
      <c r="C12" s="107"/>
      <c r="D12" s="107"/>
      <c r="E12" s="213"/>
      <c r="F12" s="295"/>
      <c r="G12" s="107"/>
      <c r="H12" s="107"/>
      <c r="I12" s="107"/>
      <c r="J12" s="107"/>
      <c r="K12" s="108"/>
      <c r="L12" s="289"/>
    </row>
    <row r="13" spans="1:12" s="60" customFormat="1" ht="15.75" customHeight="1" x14ac:dyDescent="0.2">
      <c r="A13" s="319" t="s">
        <v>12</v>
      </c>
      <c r="B13" s="281" t="s">
        <v>13</v>
      </c>
      <c r="C13" s="107">
        <f>C14+C19+C16</f>
        <v>1000</v>
      </c>
      <c r="D13" s="107">
        <f t="shared" ref="D13:J13" si="3">D14+D19+D16</f>
        <v>0</v>
      </c>
      <c r="E13" s="213">
        <f t="shared" si="3"/>
        <v>1000</v>
      </c>
      <c r="F13" s="295">
        <v>6869494.8300000001</v>
      </c>
      <c r="G13" s="107">
        <v>3186021.8200000003</v>
      </c>
      <c r="H13" s="107">
        <v>993087.19999999925</v>
      </c>
      <c r="I13" s="107">
        <f t="shared" ref="I13" si="4">I14+I16+I19</f>
        <v>2169237.9700000007</v>
      </c>
      <c r="J13" s="107">
        <f t="shared" si="3"/>
        <v>13217841.82</v>
      </c>
      <c r="K13" s="108"/>
      <c r="L13" s="289">
        <f>L14+L19+L16</f>
        <v>13216841.82</v>
      </c>
    </row>
    <row r="14" spans="1:12" s="60" customFormat="1" ht="15.75" customHeight="1" x14ac:dyDescent="0.2">
      <c r="A14" s="319" t="s">
        <v>14</v>
      </c>
      <c r="B14" s="281" t="s">
        <v>15</v>
      </c>
      <c r="C14" s="107">
        <f>+C15</f>
        <v>0</v>
      </c>
      <c r="D14" s="107">
        <f t="shared" ref="D14:J14" si="5">+D15</f>
        <v>0</v>
      </c>
      <c r="E14" s="213">
        <f t="shared" si="5"/>
        <v>0</v>
      </c>
      <c r="F14" s="295">
        <v>0</v>
      </c>
      <c r="G14" s="107">
        <v>0</v>
      </c>
      <c r="H14" s="107">
        <v>0</v>
      </c>
      <c r="I14" s="107">
        <f t="shared" ref="I14" si="6">+I15</f>
        <v>0</v>
      </c>
      <c r="J14" s="107">
        <f t="shared" si="5"/>
        <v>0</v>
      </c>
      <c r="K14" s="108" t="s">
        <v>16</v>
      </c>
      <c r="L14" s="289">
        <v>0</v>
      </c>
    </row>
    <row r="15" spans="1:12" s="60" customFormat="1" ht="15.75" customHeight="1" x14ac:dyDescent="0.2">
      <c r="A15" s="320" t="s">
        <v>17</v>
      </c>
      <c r="B15" s="282" t="s">
        <v>18</v>
      </c>
      <c r="C15" s="109">
        <v>0</v>
      </c>
      <c r="D15" s="109">
        <v>0</v>
      </c>
      <c r="E15" s="214">
        <f>C15+D15</f>
        <v>0</v>
      </c>
      <c r="F15" s="296">
        <v>0</v>
      </c>
      <c r="G15" s="109">
        <v>0</v>
      </c>
      <c r="H15" s="109">
        <v>0</v>
      </c>
      <c r="I15" s="109">
        <f>J15-F15-G15-H15</f>
        <v>0</v>
      </c>
      <c r="J15" s="109">
        <v>0</v>
      </c>
      <c r="K15" s="110"/>
      <c r="L15" s="290">
        <f>J15-E15</f>
        <v>0</v>
      </c>
    </row>
    <row r="16" spans="1:12" s="60" customFormat="1" ht="15.75" customHeight="1" x14ac:dyDescent="0.2">
      <c r="A16" s="319" t="s">
        <v>19</v>
      </c>
      <c r="B16" s="281" t="s">
        <v>558</v>
      </c>
      <c r="C16" s="107">
        <f>C17+C18</f>
        <v>0</v>
      </c>
      <c r="D16" s="107">
        <f t="shared" ref="D16" si="7">+D17</f>
        <v>0</v>
      </c>
      <c r="E16" s="213">
        <f>+E17</f>
        <v>0</v>
      </c>
      <c r="F16" s="295">
        <v>0</v>
      </c>
      <c r="G16" s="107">
        <v>0</v>
      </c>
      <c r="H16" s="107">
        <v>0</v>
      </c>
      <c r="I16" s="107">
        <f t="shared" ref="I16" si="8">+I17</f>
        <v>0</v>
      </c>
      <c r="J16" s="107">
        <f>+J17</f>
        <v>0</v>
      </c>
      <c r="K16" s="325"/>
      <c r="L16" s="289">
        <f t="shared" ref="L16" si="9">L17+L18</f>
        <v>0</v>
      </c>
    </row>
    <row r="17" spans="1:15" s="60" customFormat="1" ht="15.75" customHeight="1" x14ac:dyDescent="0.2">
      <c r="A17" s="320" t="s">
        <v>235</v>
      </c>
      <c r="B17" s="282" t="s">
        <v>20</v>
      </c>
      <c r="C17" s="109">
        <f>+C18</f>
        <v>0</v>
      </c>
      <c r="D17" s="109">
        <f>+D18</f>
        <v>0</v>
      </c>
      <c r="E17" s="214">
        <f t="shared" ref="E17:E18" si="10">C17+D17</f>
        <v>0</v>
      </c>
      <c r="F17" s="296">
        <v>0</v>
      </c>
      <c r="G17" s="109">
        <v>0</v>
      </c>
      <c r="H17" s="109">
        <v>0</v>
      </c>
      <c r="I17" s="109">
        <f t="shared" ref="I17:I18" si="11">J17-F17-G17-H17</f>
        <v>0</v>
      </c>
      <c r="J17" s="109">
        <v>0</v>
      </c>
      <c r="K17" s="110"/>
      <c r="L17" s="290">
        <f>J17-E17</f>
        <v>0</v>
      </c>
    </row>
    <row r="18" spans="1:15" s="60" customFormat="1" ht="15.75" customHeight="1" x14ac:dyDescent="0.2">
      <c r="A18" s="320" t="s">
        <v>242</v>
      </c>
      <c r="B18" s="282" t="s">
        <v>21</v>
      </c>
      <c r="C18" s="109">
        <v>0</v>
      </c>
      <c r="D18" s="109">
        <v>0</v>
      </c>
      <c r="E18" s="214">
        <f t="shared" si="10"/>
        <v>0</v>
      </c>
      <c r="F18" s="296">
        <v>0</v>
      </c>
      <c r="G18" s="109">
        <v>0</v>
      </c>
      <c r="H18" s="109">
        <v>0</v>
      </c>
      <c r="I18" s="109">
        <f t="shared" si="11"/>
        <v>0</v>
      </c>
      <c r="J18" s="109">
        <v>0</v>
      </c>
      <c r="K18" s="110"/>
      <c r="L18" s="290">
        <f>J18-E18</f>
        <v>0</v>
      </c>
    </row>
    <row r="19" spans="1:15" s="60" customFormat="1" ht="15.75" customHeight="1" x14ac:dyDescent="0.2">
      <c r="A19" s="319" t="s">
        <v>22</v>
      </c>
      <c r="B19" s="281" t="s">
        <v>23</v>
      </c>
      <c r="C19" s="107">
        <f>+C20</f>
        <v>1000</v>
      </c>
      <c r="D19" s="107">
        <f t="shared" ref="D19" si="12">SUM(D20:D20)</f>
        <v>0</v>
      </c>
      <c r="E19" s="213">
        <f t="shared" ref="E19:L19" si="13">+E20</f>
        <v>1000</v>
      </c>
      <c r="F19" s="295">
        <v>6869494.8300000001</v>
      </c>
      <c r="G19" s="107">
        <v>3186021.8200000003</v>
      </c>
      <c r="H19" s="107">
        <v>993087.19999999925</v>
      </c>
      <c r="I19" s="107">
        <f t="shared" ref="I19" si="14">+I20</f>
        <v>2169237.9700000007</v>
      </c>
      <c r="J19" s="107">
        <f t="shared" si="13"/>
        <v>13217841.82</v>
      </c>
      <c r="K19" s="383"/>
      <c r="L19" s="289">
        <f t="shared" si="13"/>
        <v>13216841.82</v>
      </c>
    </row>
    <row r="20" spans="1:15" s="31" customFormat="1" ht="15.75" customHeight="1" x14ac:dyDescent="0.2">
      <c r="A20" s="321" t="s">
        <v>24</v>
      </c>
      <c r="B20" s="282" t="s">
        <v>23</v>
      </c>
      <c r="C20" s="201">
        <v>1000</v>
      </c>
      <c r="D20" s="109">
        <v>0</v>
      </c>
      <c r="E20" s="214">
        <f>C20+D20</f>
        <v>1000</v>
      </c>
      <c r="F20" s="297">
        <v>6869494.8300000001</v>
      </c>
      <c r="G20" s="109">
        <v>3186021.8200000003</v>
      </c>
      <c r="H20" s="109">
        <v>993087.19999999925</v>
      </c>
      <c r="I20" s="109">
        <f>J20-F20-G20-H20</f>
        <v>2169237.9700000007</v>
      </c>
      <c r="J20" s="109">
        <v>13217841.82</v>
      </c>
      <c r="K20" s="596" t="s">
        <v>16</v>
      </c>
      <c r="L20" s="291">
        <f>J20-E20</f>
        <v>13216841.82</v>
      </c>
    </row>
    <row r="21" spans="1:15" s="31" customFormat="1" ht="15.75" customHeight="1" x14ac:dyDescent="0.2">
      <c r="A21" s="321"/>
      <c r="B21" s="283"/>
      <c r="C21" s="201"/>
      <c r="D21" s="109"/>
      <c r="E21" s="214"/>
      <c r="F21" s="297"/>
      <c r="G21" s="201"/>
      <c r="H21" s="201"/>
      <c r="I21" s="201"/>
      <c r="J21" s="201"/>
      <c r="K21" s="202"/>
      <c r="L21" s="291"/>
      <c r="N21" s="32"/>
      <c r="O21" s="334"/>
    </row>
    <row r="22" spans="1:15" s="31" customFormat="1" ht="15.75" customHeight="1" x14ac:dyDescent="0.2">
      <c r="A22" s="322" t="s">
        <v>25</v>
      </c>
      <c r="B22" s="284" t="s">
        <v>26</v>
      </c>
      <c r="C22" s="203">
        <f t="shared" ref="C22:J22" si="15">+C23</f>
        <v>16028834601</v>
      </c>
      <c r="D22" s="203">
        <f t="shared" si="15"/>
        <v>0</v>
      </c>
      <c r="E22" s="216">
        <f t="shared" si="15"/>
        <v>16028834601</v>
      </c>
      <c r="F22" s="298">
        <v>4007208650</v>
      </c>
      <c r="G22" s="203">
        <v>1335736217</v>
      </c>
      <c r="H22" s="203">
        <v>1335736217</v>
      </c>
      <c r="I22" s="203">
        <f t="shared" ref="I22" si="16">+I23</f>
        <v>1335736217</v>
      </c>
      <c r="J22" s="203">
        <f t="shared" si="15"/>
        <v>8014417301</v>
      </c>
      <c r="K22" s="204">
        <f>J22/E22</f>
        <v>0.50000000003119383</v>
      </c>
      <c r="L22" s="292">
        <f t="shared" ref="L22" si="17">+L23</f>
        <v>-8014417300</v>
      </c>
      <c r="N22" s="32"/>
      <c r="O22" s="334"/>
    </row>
    <row r="23" spans="1:15" s="31" customFormat="1" ht="15.75" customHeight="1" x14ac:dyDescent="0.2">
      <c r="A23" s="322" t="s">
        <v>27</v>
      </c>
      <c r="B23" s="284" t="s">
        <v>28</v>
      </c>
      <c r="C23" s="203">
        <f>SUM(C24:C25)</f>
        <v>16028834601</v>
      </c>
      <c r="D23" s="203">
        <f t="shared" ref="D23:J23" si="18">SUM(D24:D25)</f>
        <v>0</v>
      </c>
      <c r="E23" s="216">
        <f t="shared" si="18"/>
        <v>16028834601</v>
      </c>
      <c r="F23" s="298">
        <v>4007208650</v>
      </c>
      <c r="G23" s="203">
        <v>1335736217</v>
      </c>
      <c r="H23" s="203">
        <v>1335736217</v>
      </c>
      <c r="I23" s="203">
        <f t="shared" ref="I23" si="19">I24+I25</f>
        <v>1335736217</v>
      </c>
      <c r="J23" s="203">
        <f t="shared" si="18"/>
        <v>8014417301</v>
      </c>
      <c r="K23" s="204">
        <f>J23/E23</f>
        <v>0.50000000003119383</v>
      </c>
      <c r="L23" s="292">
        <f>SUM(L24:L25)</f>
        <v>-8014417300</v>
      </c>
      <c r="O23" s="334"/>
    </row>
    <row r="24" spans="1:15" s="31" customFormat="1" ht="15.75" customHeight="1" x14ac:dyDescent="0.2">
      <c r="A24" s="321" t="s">
        <v>232</v>
      </c>
      <c r="B24" s="283" t="s">
        <v>189</v>
      </c>
      <c r="C24" s="201">
        <v>0</v>
      </c>
      <c r="D24" s="201">
        <v>0</v>
      </c>
      <c r="E24" s="214">
        <f t="shared" ref="E24:E25" si="20">C24+D24</f>
        <v>0</v>
      </c>
      <c r="F24" s="297">
        <v>0</v>
      </c>
      <c r="G24" s="109">
        <v>0</v>
      </c>
      <c r="H24" s="109">
        <v>0</v>
      </c>
      <c r="I24" s="109">
        <f t="shared" ref="I24:I25" si="21">J24-F24-G24-H24</f>
        <v>0</v>
      </c>
      <c r="J24" s="109">
        <v>0</v>
      </c>
      <c r="K24" s="202" t="e">
        <f>J24/E24</f>
        <v>#DIV/0!</v>
      </c>
      <c r="L24" s="291">
        <f>J24-E24</f>
        <v>0</v>
      </c>
      <c r="O24" s="334"/>
    </row>
    <row r="25" spans="1:15" s="31" customFormat="1" ht="15.75" customHeight="1" x14ac:dyDescent="0.2">
      <c r="A25" s="321" t="s">
        <v>233</v>
      </c>
      <c r="B25" s="283" t="s">
        <v>30</v>
      </c>
      <c r="C25" s="201">
        <v>16028834601</v>
      </c>
      <c r="D25" s="201">
        <v>0</v>
      </c>
      <c r="E25" s="214">
        <f t="shared" si="20"/>
        <v>16028834601</v>
      </c>
      <c r="F25" s="297">
        <v>4007208650</v>
      </c>
      <c r="G25" s="109">
        <v>1335736217</v>
      </c>
      <c r="H25" s="109">
        <v>1335736217</v>
      </c>
      <c r="I25" s="109">
        <f t="shared" si="21"/>
        <v>1335736217</v>
      </c>
      <c r="J25" s="109">
        <v>8014417301</v>
      </c>
      <c r="K25" s="202">
        <f>J25/E25</f>
        <v>0.50000000003119383</v>
      </c>
      <c r="L25" s="291">
        <f>J25-E25</f>
        <v>-8014417300</v>
      </c>
      <c r="N25" s="32"/>
      <c r="O25" s="334"/>
    </row>
    <row r="26" spans="1:15" s="207" customFormat="1" ht="15.75" customHeight="1" x14ac:dyDescent="0.2">
      <c r="A26" s="323"/>
      <c r="B26" s="285"/>
      <c r="C26" s="205"/>
      <c r="D26" s="205"/>
      <c r="E26" s="217"/>
      <c r="F26" s="299"/>
      <c r="G26" s="205"/>
      <c r="H26" s="205"/>
      <c r="I26" s="205"/>
      <c r="J26" s="205"/>
      <c r="K26" s="206"/>
      <c r="L26" s="293"/>
      <c r="O26" s="335"/>
    </row>
    <row r="27" spans="1:15" s="207" customFormat="1" ht="15.75" customHeight="1" x14ac:dyDescent="0.2">
      <c r="A27" s="322" t="s">
        <v>177</v>
      </c>
      <c r="B27" s="284" t="s">
        <v>178</v>
      </c>
      <c r="C27" s="203">
        <f t="shared" ref="C27:L28" si="22">+C28</f>
        <v>410995759</v>
      </c>
      <c r="D27" s="203">
        <f t="shared" si="22"/>
        <v>0</v>
      </c>
      <c r="E27" s="216">
        <f t="shared" si="22"/>
        <v>410995759</v>
      </c>
      <c r="F27" s="298">
        <v>102748940</v>
      </c>
      <c r="G27" s="203">
        <v>34249646</v>
      </c>
      <c r="H27" s="203">
        <v>34249646</v>
      </c>
      <c r="I27" s="203">
        <f t="shared" ref="I27:I28" si="23">+I28</f>
        <v>34249647</v>
      </c>
      <c r="J27" s="203">
        <f t="shared" si="22"/>
        <v>205497879</v>
      </c>
      <c r="K27" s="204">
        <f>J27/E27</f>
        <v>0.49999999878344242</v>
      </c>
      <c r="L27" s="292">
        <f t="shared" si="22"/>
        <v>-205497880</v>
      </c>
    </row>
    <row r="28" spans="1:15" s="207" customFormat="1" ht="15.75" customHeight="1" x14ac:dyDescent="0.2">
      <c r="A28" s="322" t="s">
        <v>179</v>
      </c>
      <c r="B28" s="286" t="s">
        <v>180</v>
      </c>
      <c r="C28" s="203">
        <f>+C29</f>
        <v>410995759</v>
      </c>
      <c r="D28" s="203">
        <f>+D29</f>
        <v>0</v>
      </c>
      <c r="E28" s="216">
        <f>+E29</f>
        <v>410995759</v>
      </c>
      <c r="F28" s="298">
        <v>102748940</v>
      </c>
      <c r="G28" s="203">
        <v>34249646</v>
      </c>
      <c r="H28" s="203">
        <v>34249646</v>
      </c>
      <c r="I28" s="203">
        <f t="shared" si="23"/>
        <v>34249647</v>
      </c>
      <c r="J28" s="203">
        <f t="shared" si="22"/>
        <v>205497879</v>
      </c>
      <c r="K28" s="204">
        <f>J28/E28</f>
        <v>0.49999999878344242</v>
      </c>
      <c r="L28" s="292">
        <f>+L29</f>
        <v>-205497880</v>
      </c>
      <c r="O28" s="336"/>
    </row>
    <row r="29" spans="1:15" s="31" customFormat="1" ht="15.75" customHeight="1" x14ac:dyDescent="0.2">
      <c r="A29" s="321" t="s">
        <v>234</v>
      </c>
      <c r="B29" s="283" t="s">
        <v>181</v>
      </c>
      <c r="C29" s="201">
        <v>410995759</v>
      </c>
      <c r="D29" s="201"/>
      <c r="E29" s="214">
        <f>C29+D29</f>
        <v>410995759</v>
      </c>
      <c r="F29" s="297">
        <v>102748940</v>
      </c>
      <c r="G29" s="109">
        <v>34249646</v>
      </c>
      <c r="H29" s="109">
        <v>34249646</v>
      </c>
      <c r="I29" s="109">
        <f>J29-F29-G29-H29</f>
        <v>34249647</v>
      </c>
      <c r="J29" s="109">
        <v>205497879</v>
      </c>
      <c r="K29" s="202">
        <f>J29/E29</f>
        <v>0.49999999878344242</v>
      </c>
      <c r="L29" s="291">
        <f>J29-E29</f>
        <v>-205497880</v>
      </c>
    </row>
    <row r="30" spans="1:15" s="31" customFormat="1" ht="15.75" customHeight="1" x14ac:dyDescent="0.2">
      <c r="A30" s="324"/>
      <c r="B30" s="287"/>
      <c r="C30" s="201"/>
      <c r="D30" s="201"/>
      <c r="E30" s="215"/>
      <c r="F30" s="297"/>
      <c r="G30" s="201"/>
      <c r="H30" s="201"/>
      <c r="I30" s="201"/>
      <c r="J30" s="201"/>
      <c r="K30" s="204"/>
      <c r="L30" s="291"/>
    </row>
    <row r="31" spans="1:15" s="31" customFormat="1" ht="15.75" customHeight="1" x14ac:dyDescent="0.2">
      <c r="A31" s="322" t="s">
        <v>31</v>
      </c>
      <c r="B31" s="284" t="s">
        <v>32</v>
      </c>
      <c r="C31" s="203">
        <f t="shared" ref="C31:J31" si="24">+C32</f>
        <v>7898131423.0699997</v>
      </c>
      <c r="D31" s="203">
        <f t="shared" si="24"/>
        <v>0</v>
      </c>
      <c r="E31" s="216">
        <f t="shared" si="24"/>
        <v>7898131423.0699997</v>
      </c>
      <c r="F31" s="298">
        <v>179964856.65000001</v>
      </c>
      <c r="G31" s="203">
        <v>104189914.24999997</v>
      </c>
      <c r="H31" s="203">
        <v>146552332.43000001</v>
      </c>
      <c r="I31" s="203">
        <f t="shared" ref="I31:I32" si="25">+I32</f>
        <v>25017489.24999997</v>
      </c>
      <c r="J31" s="203">
        <f t="shared" si="24"/>
        <v>455724592.57999998</v>
      </c>
      <c r="K31" s="204">
        <f>J31/E31</f>
        <v>5.7700305068215753E-2</v>
      </c>
      <c r="L31" s="292">
        <f>+L32</f>
        <v>-7442406830.4899998</v>
      </c>
    </row>
    <row r="32" spans="1:15" s="31" customFormat="1" ht="15.75" customHeight="1" x14ac:dyDescent="0.2">
      <c r="A32" s="322" t="s">
        <v>33</v>
      </c>
      <c r="B32" s="284" t="s">
        <v>34</v>
      </c>
      <c r="C32" s="203">
        <f>SUM(C33:C33)</f>
        <v>7898131423.0699997</v>
      </c>
      <c r="D32" s="203">
        <f t="shared" ref="D32:J32" si="26">SUM(D33:D33)</f>
        <v>0</v>
      </c>
      <c r="E32" s="216">
        <f t="shared" si="26"/>
        <v>7898131423.0699997</v>
      </c>
      <c r="F32" s="298">
        <v>179964856.65000001</v>
      </c>
      <c r="G32" s="203">
        <v>104189914.24999997</v>
      </c>
      <c r="H32" s="203">
        <v>146552332.43000001</v>
      </c>
      <c r="I32" s="203">
        <f t="shared" si="25"/>
        <v>25017489.24999997</v>
      </c>
      <c r="J32" s="203">
        <f t="shared" si="26"/>
        <v>455724592.57999998</v>
      </c>
      <c r="K32" s="204">
        <f>J32/E32</f>
        <v>5.7700305068215753E-2</v>
      </c>
      <c r="L32" s="292">
        <f>SUM(L33:L33)</f>
        <v>-7442406830.4899998</v>
      </c>
    </row>
    <row r="33" spans="1:12" s="31" customFormat="1" ht="15.75" customHeight="1" x14ac:dyDescent="0.2">
      <c r="A33" s="321" t="s">
        <v>35</v>
      </c>
      <c r="B33" s="283" t="s">
        <v>36</v>
      </c>
      <c r="C33" s="201">
        <v>7898131423.0699997</v>
      </c>
      <c r="D33" s="201">
        <v>0</v>
      </c>
      <c r="E33" s="214">
        <f>C33+D33</f>
        <v>7898131423.0699997</v>
      </c>
      <c r="F33" s="297">
        <v>179964856.65000001</v>
      </c>
      <c r="G33" s="109">
        <v>104189914.24999997</v>
      </c>
      <c r="H33" s="109">
        <v>146552332.43000001</v>
      </c>
      <c r="I33" s="109">
        <f>J33-F33-G33-H33</f>
        <v>25017489.24999997</v>
      </c>
      <c r="J33" s="109">
        <v>455724592.57999998</v>
      </c>
      <c r="K33" s="202">
        <f>J33/E33</f>
        <v>5.7700305068215753E-2</v>
      </c>
      <c r="L33" s="291">
        <f>J33-E33</f>
        <v>-7442406830.4899998</v>
      </c>
    </row>
    <row r="34" spans="1:12" s="60" customFormat="1" ht="15.75" customHeight="1" x14ac:dyDescent="0.2">
      <c r="A34" s="113"/>
      <c r="B34" s="288"/>
      <c r="C34" s="111"/>
      <c r="D34" s="111"/>
      <c r="E34" s="218"/>
      <c r="F34" s="112"/>
      <c r="G34" s="111"/>
      <c r="H34" s="111"/>
      <c r="I34" s="111"/>
      <c r="J34" s="111"/>
      <c r="K34" s="114"/>
      <c r="L34" s="294"/>
    </row>
    <row r="35" spans="1:12" s="61" customFormat="1" ht="21" customHeight="1" thickBot="1" x14ac:dyDescent="0.25">
      <c r="A35" s="412"/>
      <c r="B35" s="413" t="s">
        <v>37</v>
      </c>
      <c r="C35" s="414">
        <f t="shared" ref="C35:E35" si="27">C11++C27+C31</f>
        <v>24337962783.07</v>
      </c>
      <c r="D35" s="414">
        <f t="shared" si="27"/>
        <v>0</v>
      </c>
      <c r="E35" s="415">
        <f t="shared" si="27"/>
        <v>24337962783.07</v>
      </c>
      <c r="F35" s="416">
        <f>F11+F27+F31</f>
        <v>4296791941.4799995</v>
      </c>
      <c r="G35" s="414">
        <f t="shared" ref="G35:I35" si="28">G11+G27+G31</f>
        <v>1477361799.0699999</v>
      </c>
      <c r="H35" s="414">
        <f t="shared" si="28"/>
        <v>1517531282.6300001</v>
      </c>
      <c r="I35" s="414">
        <f t="shared" si="28"/>
        <v>1397172591.22</v>
      </c>
      <c r="J35" s="414">
        <f t="shared" ref="J35" si="29">J11+J27+J31</f>
        <v>8688857614.3999996</v>
      </c>
      <c r="K35" s="417">
        <f>J35/E35</f>
        <v>0.35700841898090796</v>
      </c>
      <c r="L35" s="418">
        <f>L11++L27+L31</f>
        <v>-15649105168.67</v>
      </c>
    </row>
    <row r="36" spans="1:12" s="31" customFormat="1" ht="12.6" thickTop="1" x14ac:dyDescent="0.2">
      <c r="A36" s="33"/>
      <c r="C36" s="34"/>
      <c r="D36" s="34"/>
      <c r="E36" s="34"/>
      <c r="F36" s="35"/>
      <c r="G36" s="32"/>
      <c r="H36" s="32"/>
      <c r="I36" s="32"/>
      <c r="J36" s="35"/>
      <c r="K36" s="36"/>
      <c r="L36" s="32"/>
    </row>
    <row r="37" spans="1:12" ht="14.4" x14ac:dyDescent="0.3">
      <c r="A37" s="376" t="s">
        <v>264</v>
      </c>
      <c r="B37" s="119" t="s">
        <v>270</v>
      </c>
      <c r="C37" s="54"/>
      <c r="D37" s="54"/>
      <c r="E37" s="54"/>
      <c r="F37" s="55"/>
      <c r="G37" s="56"/>
    </row>
    <row r="38" spans="1:12" ht="14.4" x14ac:dyDescent="0.3">
      <c r="A38" s="119"/>
      <c r="B38" s="53"/>
      <c r="C38" s="54"/>
      <c r="D38" s="54"/>
      <c r="E38" s="54"/>
      <c r="F38" s="55"/>
      <c r="G38" s="56"/>
    </row>
    <row r="39" spans="1:12" ht="13.8" x14ac:dyDescent="0.25">
      <c r="A39" s="11" t="s">
        <v>272</v>
      </c>
      <c r="B39" s="16" t="s">
        <v>271</v>
      </c>
    </row>
    <row r="41" spans="1:12" ht="13.8" x14ac:dyDescent="0.25">
      <c r="G41" s="133"/>
    </row>
  </sheetData>
  <mergeCells count="13">
    <mergeCell ref="A1:L1"/>
    <mergeCell ref="B8:B9"/>
    <mergeCell ref="C8:C9"/>
    <mergeCell ref="A8:A9"/>
    <mergeCell ref="D8:D9"/>
    <mergeCell ref="E8:E9"/>
    <mergeCell ref="F8:K8"/>
    <mergeCell ref="L8:L9"/>
    <mergeCell ref="E2:L2"/>
    <mergeCell ref="E3:L3"/>
    <mergeCell ref="E6:L6"/>
    <mergeCell ref="E4:L4"/>
    <mergeCell ref="E7:L7"/>
  </mergeCells>
  <phoneticPr fontId="6" type="noConversion"/>
  <printOptions horizontalCentered="1" verticalCentered="1"/>
  <pageMargins left="0.78740157480314965" right="0.39370078740157483" top="0.15748031496062992" bottom="0.15748031496062992" header="0" footer="0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2698-BA76-463A-980A-189F0596041D}">
  <sheetPr>
    <tabColor theme="5" tint="0.39997558519241921"/>
  </sheetPr>
  <dimension ref="A1:I23"/>
  <sheetViews>
    <sheetView workbookViewId="0">
      <selection sqref="A1:G20"/>
    </sheetView>
  </sheetViews>
  <sheetFormatPr baseColWidth="10" defaultColWidth="12" defaultRowHeight="15.6" x14ac:dyDescent="0.3"/>
  <cols>
    <col min="1" max="1" width="28.7109375" style="71" customWidth="1"/>
    <col min="2" max="2" width="19.140625" style="71" customWidth="1"/>
    <col min="3" max="3" width="14.7109375" style="71" customWidth="1"/>
    <col min="4" max="4" width="17.140625" style="71" customWidth="1"/>
    <col min="5" max="5" width="14.28515625" style="71" customWidth="1"/>
    <col min="6" max="6" width="21" style="71" customWidth="1"/>
    <col min="7" max="7" width="11.7109375" style="71" customWidth="1"/>
    <col min="8" max="16384" width="12" style="71"/>
  </cols>
  <sheetData>
    <row r="1" spans="1:9" x14ac:dyDescent="0.3">
      <c r="A1" s="969"/>
      <c r="B1" s="969"/>
      <c r="C1" s="969"/>
      <c r="D1" s="969"/>
      <c r="E1" s="969"/>
      <c r="F1" s="969"/>
      <c r="G1" s="969"/>
    </row>
    <row r="2" spans="1:9" x14ac:dyDescent="0.3">
      <c r="A2" s="72"/>
      <c r="C2" s="100"/>
      <c r="D2" s="970" t="s">
        <v>224</v>
      </c>
      <c r="E2" s="970"/>
      <c r="F2" s="970"/>
      <c r="G2" s="970"/>
      <c r="H2" s="594"/>
    </row>
    <row r="3" spans="1:9" x14ac:dyDescent="0.3">
      <c r="A3" s="72"/>
      <c r="C3" s="100"/>
      <c r="D3" s="970" t="s">
        <v>228</v>
      </c>
      <c r="E3" s="970"/>
      <c r="F3" s="970"/>
      <c r="G3" s="970"/>
    </row>
    <row r="4" spans="1:9" x14ac:dyDescent="0.3">
      <c r="A4" s="72"/>
      <c r="C4" s="100"/>
      <c r="D4" s="970" t="s">
        <v>163</v>
      </c>
      <c r="E4" s="970"/>
      <c r="F4" s="970"/>
      <c r="G4" s="970"/>
    </row>
    <row r="5" spans="1:9" x14ac:dyDescent="0.3">
      <c r="A5" s="72"/>
      <c r="C5" s="100"/>
      <c r="D5" s="970" t="s">
        <v>164</v>
      </c>
      <c r="E5" s="970"/>
      <c r="F5" s="970"/>
      <c r="G5" s="970"/>
    </row>
    <row r="6" spans="1:9" x14ac:dyDescent="0.3">
      <c r="A6" s="72"/>
      <c r="C6" s="100"/>
      <c r="D6" s="221"/>
      <c r="E6" s="221"/>
      <c r="F6" s="221"/>
      <c r="G6" s="377"/>
    </row>
    <row r="7" spans="1:9" x14ac:dyDescent="0.3">
      <c r="A7" s="568"/>
      <c r="C7" s="100"/>
      <c r="D7" s="971" t="str">
        <f>Ingresos!E6</f>
        <v>AL 30 DE JUNIO DEL 2026</v>
      </c>
      <c r="E7" s="970"/>
      <c r="F7" s="970"/>
      <c r="G7" s="970"/>
      <c r="H7" s="219"/>
      <c r="I7" s="121"/>
    </row>
    <row r="8" spans="1:9" ht="18" x14ac:dyDescent="0.35">
      <c r="A8" s="148"/>
      <c r="B8" s="150"/>
      <c r="C8" s="73"/>
      <c r="D8" s="73"/>
      <c r="E8" s="73"/>
      <c r="F8" s="172"/>
      <c r="G8" s="131"/>
      <c r="H8" s="191"/>
      <c r="I8" s="191"/>
    </row>
    <row r="9" spans="1:9" s="74" customFormat="1" x14ac:dyDescent="0.2">
      <c r="A9" s="964" t="s">
        <v>165</v>
      </c>
      <c r="B9" s="966" t="s">
        <v>166</v>
      </c>
      <c r="C9" s="966"/>
      <c r="D9" s="966" t="s">
        <v>6</v>
      </c>
      <c r="E9" s="966"/>
      <c r="F9" s="966" t="s">
        <v>167</v>
      </c>
      <c r="G9" s="968"/>
      <c r="H9" s="120"/>
    </row>
    <row r="10" spans="1:9" s="75" customFormat="1" x14ac:dyDescent="0.2">
      <c r="A10" s="965"/>
      <c r="B10" s="967"/>
      <c r="C10" s="967"/>
      <c r="D10" s="967"/>
      <c r="E10" s="967"/>
      <c r="F10" s="598" t="s">
        <v>137</v>
      </c>
      <c r="G10" s="599" t="s">
        <v>168</v>
      </c>
    </row>
    <row r="11" spans="1:9" s="75" customFormat="1" x14ac:dyDescent="0.2">
      <c r="A11" s="76"/>
      <c r="B11" s="77" t="s">
        <v>137</v>
      </c>
      <c r="C11" s="77" t="s">
        <v>169</v>
      </c>
      <c r="D11" s="77" t="s">
        <v>137</v>
      </c>
      <c r="E11" s="77" t="s">
        <v>169</v>
      </c>
      <c r="F11" s="77" t="s">
        <v>137</v>
      </c>
      <c r="G11" s="78"/>
    </row>
    <row r="12" spans="1:9" s="75" customFormat="1" x14ac:dyDescent="0.2">
      <c r="A12" s="79" t="s">
        <v>170</v>
      </c>
      <c r="B12" s="104">
        <f>B14+B16</f>
        <v>566245000</v>
      </c>
      <c r="C12" s="80">
        <f>SUM(C14:C16)</f>
        <v>1</v>
      </c>
      <c r="D12" s="104">
        <f>D14+D16</f>
        <v>237021659.36000001</v>
      </c>
      <c r="E12" s="80">
        <f>D12/D18</f>
        <v>1</v>
      </c>
      <c r="F12" s="104">
        <f>F14+F16</f>
        <v>11540181.5</v>
      </c>
      <c r="G12" s="81">
        <f>G16+G14</f>
        <v>4.8688299335851885E-2</v>
      </c>
    </row>
    <row r="13" spans="1:9" x14ac:dyDescent="0.3">
      <c r="A13" s="82"/>
      <c r="B13" s="105"/>
      <c r="C13" s="83"/>
      <c r="D13" s="105"/>
      <c r="E13" s="83"/>
      <c r="F13" s="105"/>
      <c r="G13" s="84"/>
    </row>
    <row r="14" spans="1:9" x14ac:dyDescent="0.3">
      <c r="A14" s="82" t="s">
        <v>73</v>
      </c>
      <c r="B14" s="105">
        <f>+Consolidado!M53</f>
        <v>566245000</v>
      </c>
      <c r="C14" s="85">
        <f>B14/B18</f>
        <v>1</v>
      </c>
      <c r="D14" s="105">
        <f>+Consolidado!R53</f>
        <v>237021659.36000001</v>
      </c>
      <c r="E14" s="83">
        <f>D14/D18</f>
        <v>1</v>
      </c>
      <c r="F14" s="280">
        <v>11540181.5</v>
      </c>
      <c r="G14" s="86">
        <f>F14/D14</f>
        <v>4.8688299335851885E-2</v>
      </c>
    </row>
    <row r="15" spans="1:9" x14ac:dyDescent="0.3">
      <c r="A15" s="82"/>
      <c r="B15" s="105"/>
      <c r="C15" s="85"/>
      <c r="D15" s="105"/>
      <c r="E15" s="83"/>
      <c r="F15" s="280"/>
      <c r="G15" s="84"/>
    </row>
    <row r="16" spans="1:9" x14ac:dyDescent="0.3">
      <c r="A16" s="82" t="s">
        <v>171</v>
      </c>
      <c r="B16" s="105">
        <v>0</v>
      </c>
      <c r="C16" s="85">
        <f>B16/B18</f>
        <v>0</v>
      </c>
      <c r="D16" s="105">
        <v>0</v>
      </c>
      <c r="E16" s="83">
        <f>D16/D18</f>
        <v>0</v>
      </c>
      <c r="F16" s="105">
        <v>0</v>
      </c>
      <c r="G16" s="84">
        <v>0</v>
      </c>
    </row>
    <row r="17" spans="1:7" x14ac:dyDescent="0.3">
      <c r="A17" s="87"/>
      <c r="B17" s="106"/>
      <c r="C17" s="89"/>
      <c r="D17" s="88"/>
      <c r="E17" s="90"/>
      <c r="F17" s="88"/>
      <c r="G17" s="91"/>
    </row>
    <row r="18" spans="1:7" x14ac:dyDescent="0.3">
      <c r="A18" s="600" t="s">
        <v>130</v>
      </c>
      <c r="B18" s="601">
        <f t="shared" ref="B18:G18" si="0">SUM(B14:B16)</f>
        <v>566245000</v>
      </c>
      <c r="C18" s="602">
        <f t="shared" si="0"/>
        <v>1</v>
      </c>
      <c r="D18" s="601">
        <f t="shared" si="0"/>
        <v>237021659.36000001</v>
      </c>
      <c r="E18" s="603">
        <f t="shared" si="0"/>
        <v>1</v>
      </c>
      <c r="F18" s="601">
        <f t="shared" si="0"/>
        <v>11540181.5</v>
      </c>
      <c r="G18" s="602">
        <f t="shared" si="0"/>
        <v>4.8688299335851885E-2</v>
      </c>
    </row>
    <row r="19" spans="1:7" x14ac:dyDescent="0.3">
      <c r="A19" s="72"/>
      <c r="B19" s="92"/>
      <c r="C19" s="72"/>
      <c r="D19" s="93"/>
      <c r="E19" s="72"/>
      <c r="F19" s="72"/>
      <c r="G19" s="72"/>
    </row>
    <row r="20" spans="1:7" x14ac:dyDescent="0.3">
      <c r="A20" s="16" t="s">
        <v>236</v>
      </c>
      <c r="B20" s="13"/>
      <c r="C20" s="94"/>
      <c r="D20" s="94"/>
      <c r="E20" s="94"/>
      <c r="F20" s="121"/>
      <c r="G20" s="13"/>
    </row>
    <row r="21" spans="1:7" x14ac:dyDescent="0.3">
      <c r="A21" s="95"/>
      <c r="B21" s="96"/>
      <c r="C21" s="96"/>
      <c r="D21" s="96"/>
      <c r="E21" s="96"/>
      <c r="F21" s="96"/>
      <c r="G21" s="96"/>
    </row>
    <row r="22" spans="1:7" ht="16.2" x14ac:dyDescent="0.3">
      <c r="A22" s="97"/>
      <c r="B22" s="98"/>
      <c r="C22" s="98"/>
      <c r="D22" s="98"/>
      <c r="E22" s="98"/>
      <c r="F22" s="98"/>
      <c r="G22" s="98"/>
    </row>
    <row r="23" spans="1:7" x14ac:dyDescent="0.3">
      <c r="A23" s="99"/>
    </row>
  </sheetData>
  <mergeCells count="10">
    <mergeCell ref="A9:A10"/>
    <mergeCell ref="B9:C10"/>
    <mergeCell ref="D9:E10"/>
    <mergeCell ref="F9:G9"/>
    <mergeCell ref="A1:G1"/>
    <mergeCell ref="D2:G2"/>
    <mergeCell ref="D3:G3"/>
    <mergeCell ref="D4:G4"/>
    <mergeCell ref="D5:G5"/>
    <mergeCell ref="D7:G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F3CC-11B9-40DA-B34D-9D50B50E982D}">
  <dimension ref="B2:H14"/>
  <sheetViews>
    <sheetView workbookViewId="0">
      <selection activeCell="L10" sqref="L10"/>
    </sheetView>
  </sheetViews>
  <sheetFormatPr baseColWidth="10" defaultRowHeight="10.199999999999999" x14ac:dyDescent="0.2"/>
  <cols>
    <col min="1" max="1" width="5" customWidth="1"/>
    <col min="3" max="3" width="48" customWidth="1"/>
    <col min="4" max="4" width="18.140625" customWidth="1"/>
    <col min="5" max="5" width="51" customWidth="1"/>
  </cols>
  <sheetData>
    <row r="2" spans="2:8" ht="13.8" x14ac:dyDescent="0.3">
      <c r="B2" s="974"/>
      <c r="C2" s="974"/>
      <c r="D2" s="974"/>
      <c r="E2" s="974"/>
      <c r="F2" s="30"/>
      <c r="G2" s="30"/>
      <c r="H2" s="30"/>
    </row>
    <row r="3" spans="2:8" ht="13.8" x14ac:dyDescent="0.3">
      <c r="B3" s="30"/>
      <c r="C3" s="30"/>
      <c r="D3" s="894" t="s">
        <v>226</v>
      </c>
      <c r="E3" s="894"/>
      <c r="F3" s="224"/>
      <c r="G3" s="224"/>
      <c r="H3" s="224"/>
    </row>
    <row r="4" spans="2:8" ht="13.8" x14ac:dyDescent="0.3">
      <c r="B4" s="30"/>
      <c r="C4" s="30"/>
      <c r="D4" s="894" t="s">
        <v>228</v>
      </c>
      <c r="E4" s="894"/>
      <c r="F4" s="224"/>
      <c r="G4" s="224"/>
      <c r="H4" s="224"/>
    </row>
    <row r="5" spans="2:8" ht="25.5" customHeight="1" x14ac:dyDescent="0.3">
      <c r="B5" s="30"/>
      <c r="C5" s="30"/>
      <c r="D5" s="972" t="s">
        <v>204</v>
      </c>
      <c r="E5" s="972"/>
      <c r="F5" s="224"/>
      <c r="G5" s="224"/>
      <c r="H5" s="224"/>
    </row>
    <row r="6" spans="2:8" ht="13.8" x14ac:dyDescent="0.3">
      <c r="B6" s="30"/>
      <c r="C6" s="30"/>
      <c r="D6" s="973" t="str">
        <f>+Ingresos!E6</f>
        <v>AL 30 DE JUNIO DEL 2026</v>
      </c>
      <c r="E6" s="973"/>
      <c r="F6" s="333"/>
      <c r="G6" s="224"/>
      <c r="H6" s="224"/>
    </row>
    <row r="7" spans="2:8" ht="13.8" x14ac:dyDescent="0.3">
      <c r="B7" s="30"/>
      <c r="C7" s="30"/>
      <c r="D7" s="224"/>
      <c r="E7" s="221"/>
      <c r="F7" s="221"/>
      <c r="G7" s="221"/>
      <c r="H7" s="221"/>
    </row>
    <row r="8" spans="2:8" ht="13.8" x14ac:dyDescent="0.3">
      <c r="B8" s="625" t="s">
        <v>205</v>
      </c>
      <c r="C8" s="626" t="s">
        <v>206</v>
      </c>
      <c r="D8" s="627" t="s">
        <v>214</v>
      </c>
      <c r="E8" s="628" t="s">
        <v>207</v>
      </c>
      <c r="F8" s="221"/>
      <c r="G8" s="221"/>
      <c r="H8" s="221"/>
    </row>
    <row r="9" spans="2:8" ht="40.5" customHeight="1" x14ac:dyDescent="0.3">
      <c r="B9" s="249" t="s">
        <v>208</v>
      </c>
      <c r="C9" s="250" t="s">
        <v>211</v>
      </c>
      <c r="D9" s="251">
        <f>+Consolidado!R133</f>
        <v>79863311.400000006</v>
      </c>
      <c r="E9" s="252" t="s">
        <v>209</v>
      </c>
      <c r="F9" s="30"/>
      <c r="G9" s="30"/>
      <c r="H9" s="30"/>
    </row>
    <row r="10" spans="2:8" ht="41.4" x14ac:dyDescent="0.3">
      <c r="B10" s="253" t="s">
        <v>210</v>
      </c>
      <c r="C10" s="254" t="s">
        <v>212</v>
      </c>
      <c r="D10" s="255">
        <f>+Consolidado!R145</f>
        <v>103622250</v>
      </c>
      <c r="E10" s="256" t="s">
        <v>213</v>
      </c>
      <c r="F10" s="30"/>
      <c r="G10" s="30"/>
      <c r="H10" s="30"/>
    </row>
    <row r="11" spans="2:8" ht="14.4" thickBot="1" x14ac:dyDescent="0.35">
      <c r="B11" s="629" t="s">
        <v>130</v>
      </c>
      <c r="C11" s="630"/>
      <c r="D11" s="631">
        <f>SUM(D9:D10)</f>
        <v>183485561.40000001</v>
      </c>
      <c r="E11" s="632"/>
      <c r="F11" s="30"/>
      <c r="G11" s="30"/>
      <c r="H11" s="30"/>
    </row>
    <row r="12" spans="2:8" ht="14.4" thickTop="1" x14ac:dyDescent="0.3">
      <c r="B12" s="30"/>
      <c r="C12" s="30"/>
      <c r="D12" s="30"/>
      <c r="E12" s="30"/>
      <c r="F12" s="30"/>
      <c r="G12" s="30"/>
      <c r="H12" s="30"/>
    </row>
    <row r="13" spans="2:8" ht="13.8" x14ac:dyDescent="0.3">
      <c r="B13" s="257" t="s">
        <v>215</v>
      </c>
      <c r="C13" s="30"/>
      <c r="D13" s="30"/>
      <c r="E13" s="30"/>
      <c r="F13" s="30"/>
      <c r="G13" s="30"/>
      <c r="H13" s="30"/>
    </row>
    <row r="14" spans="2:8" ht="13.8" x14ac:dyDescent="0.3">
      <c r="B14" s="16" t="s">
        <v>237</v>
      </c>
      <c r="C14" s="30"/>
      <c r="D14" s="30"/>
      <c r="E14" s="30"/>
      <c r="F14" s="30"/>
      <c r="G14" s="30"/>
      <c r="H14" s="30"/>
    </row>
  </sheetData>
  <mergeCells count="5">
    <mergeCell ref="D4:E4"/>
    <mergeCell ref="D5:E5"/>
    <mergeCell ref="D6:E6"/>
    <mergeCell ref="B2:E2"/>
    <mergeCell ref="D3:E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510A-A153-4C09-83F9-66C832494F61}">
  <dimension ref="B6:Z78"/>
  <sheetViews>
    <sheetView zoomScale="130" zoomScaleNormal="130" workbookViewId="0">
      <selection activeCell="L68" sqref="L68"/>
    </sheetView>
  </sheetViews>
  <sheetFormatPr baseColWidth="10" defaultRowHeight="10.199999999999999" x14ac:dyDescent="0.2"/>
  <cols>
    <col min="2" max="2" width="7.140625" customWidth="1"/>
    <col min="3" max="3" width="20" customWidth="1"/>
    <col min="4" max="4" width="16.85546875" customWidth="1"/>
    <col min="5" max="5" width="16.140625" customWidth="1"/>
    <col min="6" max="7" width="9" customWidth="1"/>
    <col min="8" max="8" width="11.42578125" customWidth="1"/>
    <col min="9" max="11" width="7.85546875" bestFit="1" customWidth="1"/>
  </cols>
  <sheetData>
    <row r="6" spans="2:8" x14ac:dyDescent="0.2">
      <c r="B6" s="384"/>
      <c r="C6" s="384"/>
      <c r="D6" s="384"/>
      <c r="E6" s="384"/>
      <c r="F6" s="384"/>
      <c r="G6" s="384"/>
      <c r="H6" s="384"/>
    </row>
    <row r="7" spans="2:8" x14ac:dyDescent="0.2">
      <c r="B7" s="384"/>
      <c r="C7" s="385"/>
      <c r="D7" s="385"/>
      <c r="E7" s="385"/>
      <c r="F7" s="385"/>
      <c r="G7" s="385"/>
      <c r="H7" s="385"/>
    </row>
    <row r="8" spans="2:8" x14ac:dyDescent="0.2">
      <c r="B8" s="384"/>
      <c r="C8" s="975" t="s">
        <v>565</v>
      </c>
      <c r="D8" s="975"/>
      <c r="E8" s="975"/>
      <c r="F8" s="975"/>
      <c r="G8" s="975"/>
      <c r="H8" s="385"/>
    </row>
    <row r="9" spans="2:8" ht="23.4" x14ac:dyDescent="0.2">
      <c r="B9" s="384"/>
      <c r="C9" s="608" t="s">
        <v>243</v>
      </c>
      <c r="D9" s="608" t="s">
        <v>174</v>
      </c>
      <c r="E9" s="609" t="s">
        <v>175</v>
      </c>
      <c r="F9" s="609" t="s">
        <v>245</v>
      </c>
      <c r="G9" s="609" t="s">
        <v>244</v>
      </c>
    </row>
    <row r="10" spans="2:8" x14ac:dyDescent="0.2">
      <c r="B10" s="384"/>
      <c r="C10" s="386" t="s">
        <v>143</v>
      </c>
      <c r="D10" s="604">
        <f>+Consolidado!M13</f>
        <v>8565463590.75</v>
      </c>
      <c r="E10" s="604">
        <f>+Consolidado!R13</f>
        <v>3548346881.77</v>
      </c>
      <c r="F10" s="387">
        <f t="shared" ref="F10:F16" si="0">E10/$E$17</f>
        <v>0.56899649484633064</v>
      </c>
      <c r="G10" s="387">
        <f t="shared" ref="G10:G17" si="1">E10/D10</f>
        <v>0.41426209383481877</v>
      </c>
    </row>
    <row r="11" spans="2:8" x14ac:dyDescent="0.2">
      <c r="B11" s="384"/>
      <c r="C11" s="388" t="s">
        <v>145</v>
      </c>
      <c r="D11" s="605">
        <f>+Consolidado!M41</f>
        <v>5769668481.8999996</v>
      </c>
      <c r="E11" s="605">
        <f>+Consolidado!R41</f>
        <v>1743092612.6799998</v>
      </c>
      <c r="F11" s="389">
        <f t="shared" si="0"/>
        <v>0.27951426956112935</v>
      </c>
      <c r="G11" s="389">
        <f t="shared" si="1"/>
        <v>0.30211313148203361</v>
      </c>
    </row>
    <row r="12" spans="2:8" x14ac:dyDescent="0.2">
      <c r="B12" s="384"/>
      <c r="C12" s="388" t="s">
        <v>156</v>
      </c>
      <c r="D12" s="605">
        <f>+Consolidado!M89</f>
        <v>309515000</v>
      </c>
      <c r="E12" s="605">
        <f>+Consolidado!R89</f>
        <v>107390582.84999999</v>
      </c>
      <c r="F12" s="389">
        <f t="shared" si="0"/>
        <v>1.7220657184078322E-2</v>
      </c>
      <c r="G12" s="389">
        <f t="shared" si="1"/>
        <v>0.34696406587725959</v>
      </c>
    </row>
    <row r="13" spans="2:8" x14ac:dyDescent="0.2">
      <c r="B13" s="384"/>
      <c r="C13" s="388" t="s">
        <v>157</v>
      </c>
      <c r="D13" s="605">
        <f>+Consolidado!M117</f>
        <v>6483289182.0699997</v>
      </c>
      <c r="E13" s="605">
        <f>+Consolidado!R117</f>
        <v>228609873.5</v>
      </c>
      <c r="F13" s="389">
        <f t="shared" si="0"/>
        <v>3.6658821993152187E-2</v>
      </c>
      <c r="G13" s="389">
        <f t="shared" si="1"/>
        <v>3.5261403136580265E-2</v>
      </c>
    </row>
    <row r="14" spans="2:8" x14ac:dyDescent="0.2">
      <c r="B14" s="384"/>
      <c r="C14" s="388" t="s">
        <v>158</v>
      </c>
      <c r="D14" s="605">
        <f>+Consolidado!M131</f>
        <v>684642660</v>
      </c>
      <c r="E14" s="605">
        <f>+Consolidado!R131</f>
        <v>236757310.90000001</v>
      </c>
      <c r="F14" s="389">
        <f t="shared" si="0"/>
        <v>3.7965307372695302E-2</v>
      </c>
      <c r="G14" s="389">
        <f t="shared" si="1"/>
        <v>0.34581150829835816</v>
      </c>
    </row>
    <row r="15" spans="2:8" x14ac:dyDescent="0.2">
      <c r="B15" s="384"/>
      <c r="C15" s="388" t="s">
        <v>159</v>
      </c>
      <c r="D15" s="605">
        <f>+Consolidado!M147</f>
        <v>1800000000</v>
      </c>
      <c r="E15" s="605">
        <f>+Consolidado!R147</f>
        <v>371951667</v>
      </c>
      <c r="F15" s="389">
        <f t="shared" si="0"/>
        <v>5.9644449042614157E-2</v>
      </c>
      <c r="G15" s="389">
        <f t="shared" si="1"/>
        <v>0.206639815</v>
      </c>
    </row>
    <row r="16" spans="2:8" x14ac:dyDescent="0.2">
      <c r="B16" s="384"/>
      <c r="C16" s="390" t="s">
        <v>160</v>
      </c>
      <c r="D16" s="606">
        <f>+Consolidado!M151</f>
        <v>725383868.35000002</v>
      </c>
      <c r="E16" s="606">
        <f>+Consolidado!R151</f>
        <v>0</v>
      </c>
      <c r="F16" s="391">
        <f t="shared" si="0"/>
        <v>0</v>
      </c>
      <c r="G16" s="391">
        <f t="shared" si="1"/>
        <v>0</v>
      </c>
    </row>
    <row r="17" spans="2:8" ht="10.8" thickBot="1" x14ac:dyDescent="0.25">
      <c r="B17" s="384"/>
      <c r="C17" s="610" t="s">
        <v>130</v>
      </c>
      <c r="D17" s="611">
        <f>SUM(D10:D16)</f>
        <v>24337962783.07</v>
      </c>
      <c r="E17" s="611">
        <f>SUM(E10:E16)</f>
        <v>6236148928.6999998</v>
      </c>
      <c r="F17" s="612">
        <f>SUM(F10:F16)</f>
        <v>0.99999999999999989</v>
      </c>
      <c r="G17" s="613">
        <f t="shared" si="1"/>
        <v>0.25623134459873514</v>
      </c>
    </row>
    <row r="18" spans="2:8" ht="10.8" thickTop="1" x14ac:dyDescent="0.2">
      <c r="B18" s="384"/>
      <c r="C18" s="385"/>
      <c r="D18" s="385"/>
      <c r="E18" s="385"/>
      <c r="F18" s="385"/>
      <c r="G18" s="385"/>
      <c r="H18" s="385"/>
    </row>
    <row r="19" spans="2:8" x14ac:dyDescent="0.2">
      <c r="B19" s="384"/>
      <c r="C19" s="384"/>
      <c r="D19" s="384"/>
      <c r="E19" s="384"/>
      <c r="F19" s="384"/>
      <c r="G19" s="384"/>
      <c r="H19" s="384"/>
    </row>
    <row r="20" spans="2:8" x14ac:dyDescent="0.2">
      <c r="B20" s="384"/>
      <c r="C20" s="384"/>
      <c r="D20" s="384"/>
      <c r="E20" s="384"/>
      <c r="F20" s="384"/>
      <c r="G20" s="384"/>
      <c r="H20" s="384"/>
    </row>
    <row r="21" spans="2:8" ht="15.6" x14ac:dyDescent="0.2">
      <c r="B21" s="384"/>
      <c r="C21" s="392" t="s">
        <v>238</v>
      </c>
      <c r="D21" s="393">
        <v>6388643.3499999996</v>
      </c>
      <c r="E21" s="384"/>
      <c r="F21" s="384"/>
      <c r="G21" s="384"/>
      <c r="H21" s="384"/>
    </row>
    <row r="22" spans="2:8" x14ac:dyDescent="0.2">
      <c r="B22" s="384"/>
      <c r="C22" s="392" t="s">
        <v>560</v>
      </c>
      <c r="D22" s="393">
        <v>1829239.82</v>
      </c>
      <c r="E22" s="384"/>
      <c r="F22" s="384"/>
      <c r="G22" s="384"/>
      <c r="H22" s="384"/>
    </row>
    <row r="23" spans="2:8" x14ac:dyDescent="0.2">
      <c r="B23" s="384"/>
      <c r="C23" s="392" t="s">
        <v>561</v>
      </c>
      <c r="D23" s="393">
        <v>1817130</v>
      </c>
      <c r="E23" s="384"/>
      <c r="F23" s="384"/>
      <c r="G23" s="384"/>
      <c r="H23" s="384"/>
    </row>
    <row r="24" spans="2:8" x14ac:dyDescent="0.2">
      <c r="B24" s="384"/>
      <c r="C24" s="392" t="s">
        <v>562</v>
      </c>
      <c r="D24" s="393">
        <v>913565</v>
      </c>
      <c r="E24" s="384"/>
      <c r="F24" s="384"/>
      <c r="G24" s="384"/>
      <c r="H24" s="384"/>
    </row>
    <row r="25" spans="2:8" x14ac:dyDescent="0.2">
      <c r="B25" s="384"/>
      <c r="C25" s="392" t="s">
        <v>563</v>
      </c>
      <c r="D25" s="393">
        <v>214700</v>
      </c>
      <c r="E25" s="384"/>
      <c r="F25" s="384"/>
      <c r="G25" s="384"/>
      <c r="H25" s="384"/>
    </row>
    <row r="26" spans="2:8" x14ac:dyDescent="0.2">
      <c r="B26" s="384"/>
      <c r="C26" s="392" t="s">
        <v>239</v>
      </c>
      <c r="D26" s="393">
        <v>2054563.65</v>
      </c>
      <c r="E26" s="394"/>
      <c r="F26" s="384"/>
      <c r="G26" s="384"/>
      <c r="H26" s="384"/>
    </row>
    <row r="27" spans="2:8" x14ac:dyDescent="0.2">
      <c r="B27" s="384"/>
      <c r="C27" s="395" t="s">
        <v>240</v>
      </c>
      <c r="D27" s="684">
        <f>SUM(D21:D26)</f>
        <v>13217841.82</v>
      </c>
      <c r="E27" s="384">
        <f>13217841.82-11163278.17</f>
        <v>2054563.6500000004</v>
      </c>
      <c r="F27" s="394"/>
      <c r="G27" s="394"/>
      <c r="H27" s="384"/>
    </row>
    <row r="28" spans="2:8" x14ac:dyDescent="0.2">
      <c r="B28" s="384"/>
      <c r="C28" s="384"/>
      <c r="D28" s="396"/>
      <c r="E28" s="384"/>
      <c r="F28" s="384"/>
      <c r="G28" s="384"/>
      <c r="H28" s="384"/>
    </row>
    <row r="29" spans="2:8" x14ac:dyDescent="0.2">
      <c r="B29" s="384"/>
      <c r="C29" s="384"/>
      <c r="D29" s="396"/>
      <c r="E29" s="384"/>
      <c r="F29" s="384"/>
      <c r="G29" s="384"/>
      <c r="H29" s="384"/>
    </row>
    <row r="30" spans="2:8" ht="15.6" x14ac:dyDescent="0.2">
      <c r="B30" s="614" t="s">
        <v>246</v>
      </c>
      <c r="C30" s="614" t="s">
        <v>3</v>
      </c>
      <c r="D30" s="614" t="s">
        <v>247</v>
      </c>
      <c r="E30" s="614" t="s">
        <v>248</v>
      </c>
      <c r="F30" s="614" t="s">
        <v>249</v>
      </c>
      <c r="G30" s="637"/>
      <c r="H30" s="384"/>
    </row>
    <row r="31" spans="2:8" x14ac:dyDescent="0.2">
      <c r="B31" s="397" t="s">
        <v>250</v>
      </c>
      <c r="C31" s="398" t="s">
        <v>158</v>
      </c>
      <c r="D31" s="399">
        <f>+Ingresos!E25</f>
        <v>16028834601</v>
      </c>
      <c r="E31" s="399">
        <f>+Ingresos!J25</f>
        <v>8014417301</v>
      </c>
      <c r="F31" s="400">
        <f>E31/D31</f>
        <v>0.50000000003119383</v>
      </c>
      <c r="G31" s="638"/>
      <c r="H31" s="384"/>
    </row>
    <row r="32" spans="2:8" x14ac:dyDescent="0.2">
      <c r="B32" s="401" t="s">
        <v>250</v>
      </c>
      <c r="C32" s="402" t="s">
        <v>159</v>
      </c>
      <c r="D32" s="403">
        <f>+Ingresos!E29</f>
        <v>410995759</v>
      </c>
      <c r="E32" s="403">
        <f>+Ingresos!J29</f>
        <v>205497879</v>
      </c>
      <c r="F32" s="404">
        <f t="shared" ref="F32:F33" si="2">E32/D32</f>
        <v>0.49999999878344242</v>
      </c>
      <c r="G32" s="638"/>
      <c r="H32" s="384"/>
    </row>
    <row r="33" spans="2:8" x14ac:dyDescent="0.2">
      <c r="B33" s="401" t="s">
        <v>251</v>
      </c>
      <c r="C33" s="402" t="s">
        <v>36</v>
      </c>
      <c r="D33" s="403">
        <f>+Ingresos!E33</f>
        <v>7898131423.0699997</v>
      </c>
      <c r="E33" s="403">
        <f>+Ingresos!J33</f>
        <v>455724592.57999998</v>
      </c>
      <c r="F33" s="404">
        <f t="shared" si="2"/>
        <v>5.7700305068215753E-2</v>
      </c>
      <c r="G33" s="638"/>
      <c r="H33" s="384"/>
    </row>
    <row r="34" spans="2:8" x14ac:dyDescent="0.2">
      <c r="B34" s="405" t="s">
        <v>252</v>
      </c>
      <c r="C34" s="406" t="s">
        <v>253</v>
      </c>
      <c r="D34" s="403">
        <v>1000</v>
      </c>
      <c r="E34" s="407">
        <f>+Ingresos!J13</f>
        <v>13217841.82</v>
      </c>
      <c r="F34" s="404" t="s">
        <v>16</v>
      </c>
      <c r="G34" s="638"/>
      <c r="H34" s="384"/>
    </row>
    <row r="35" spans="2:8" ht="10.8" thickBot="1" x14ac:dyDescent="0.25">
      <c r="B35" s="615" t="s">
        <v>49</v>
      </c>
      <c r="C35" s="615"/>
      <c r="D35" s="616">
        <f>SUM(D31:D34)</f>
        <v>24337962783.07</v>
      </c>
      <c r="E35" s="616">
        <f>SUM(E31:E34)</f>
        <v>8688857614.3999996</v>
      </c>
      <c r="F35" s="617"/>
      <c r="G35" s="639"/>
      <c r="H35" s="384"/>
    </row>
    <row r="36" spans="2:8" ht="10.8" thickTop="1" x14ac:dyDescent="0.2"/>
    <row r="39" spans="2:8" ht="13.8" x14ac:dyDescent="0.25">
      <c r="B39" s="337" t="s">
        <v>254</v>
      </c>
    </row>
    <row r="42" spans="2:8" ht="13.8" x14ac:dyDescent="0.3">
      <c r="B42" s="970" t="s">
        <v>501</v>
      </c>
      <c r="C42" s="970"/>
      <c r="D42" s="970"/>
      <c r="E42" s="970"/>
      <c r="F42" s="970"/>
      <c r="G42" s="221"/>
    </row>
    <row r="43" spans="2:8" ht="13.8" x14ac:dyDescent="0.3">
      <c r="B43" s="970" t="s">
        <v>564</v>
      </c>
      <c r="C43" s="970"/>
      <c r="D43" s="970"/>
      <c r="E43" s="970"/>
      <c r="F43" s="970"/>
      <c r="G43" s="221"/>
    </row>
    <row r="44" spans="2:8" ht="13.8" x14ac:dyDescent="0.3">
      <c r="B44" s="970" t="s">
        <v>255</v>
      </c>
      <c r="C44" s="970"/>
      <c r="D44" s="970"/>
      <c r="E44" s="970"/>
      <c r="F44" s="970"/>
      <c r="G44" s="221"/>
    </row>
    <row r="45" spans="2:8" ht="13.8" x14ac:dyDescent="0.3">
      <c r="B45" s="221"/>
      <c r="C45" s="338"/>
      <c r="D45" s="339"/>
      <c r="E45" s="339"/>
      <c r="F45" s="339"/>
      <c r="G45" s="339"/>
    </row>
    <row r="46" spans="2:8" ht="27.6" x14ac:dyDescent="0.2">
      <c r="B46" s="977" t="s">
        <v>136</v>
      </c>
      <c r="C46" s="977"/>
      <c r="D46" s="340" t="s">
        <v>256</v>
      </c>
      <c r="E46" s="340" t="s">
        <v>257</v>
      </c>
      <c r="F46" s="340" t="s">
        <v>155</v>
      </c>
      <c r="G46" s="640"/>
    </row>
    <row r="47" spans="2:8" ht="13.8" x14ac:dyDescent="0.2">
      <c r="B47" s="341">
        <v>0</v>
      </c>
      <c r="C47" s="342" t="s">
        <v>143</v>
      </c>
      <c r="D47" s="343">
        <f>+D10/1000000</f>
        <v>8565.4635907499996</v>
      </c>
      <c r="E47" s="343">
        <f>+E10/1000000</f>
        <v>3548.34688177</v>
      </c>
      <c r="F47" s="344">
        <f t="shared" ref="F47:F54" si="3">E47/D47</f>
        <v>0.41426209383481877</v>
      </c>
      <c r="G47" s="641"/>
    </row>
    <row r="48" spans="2:8" ht="13.8" x14ac:dyDescent="0.2">
      <c r="B48" s="149" t="s">
        <v>65</v>
      </c>
      <c r="C48" s="345" t="s">
        <v>145</v>
      </c>
      <c r="D48" s="343">
        <f t="shared" ref="D48:E50" si="4">D11/1000000</f>
        <v>5769.6684818999993</v>
      </c>
      <c r="E48" s="343">
        <f t="shared" si="4"/>
        <v>1743.0926126799998</v>
      </c>
      <c r="F48" s="346">
        <f t="shared" si="3"/>
        <v>0.30211313148203361</v>
      </c>
      <c r="G48" s="641"/>
    </row>
    <row r="49" spans="2:7" ht="13.8" x14ac:dyDescent="0.2">
      <c r="B49" s="149">
        <v>2</v>
      </c>
      <c r="C49" s="345" t="s">
        <v>156</v>
      </c>
      <c r="D49" s="343">
        <f t="shared" si="4"/>
        <v>309.51499999999999</v>
      </c>
      <c r="E49" s="343">
        <f t="shared" si="4"/>
        <v>107.39058284999999</v>
      </c>
      <c r="F49" s="346">
        <f t="shared" si="3"/>
        <v>0.34696406587725953</v>
      </c>
      <c r="G49" s="641"/>
    </row>
    <row r="50" spans="2:7" ht="13.8" x14ac:dyDescent="0.2">
      <c r="B50" s="149">
        <v>5</v>
      </c>
      <c r="C50" s="345" t="s">
        <v>157</v>
      </c>
      <c r="D50" s="343">
        <f t="shared" si="4"/>
        <v>6483.2891820699997</v>
      </c>
      <c r="E50" s="343">
        <f t="shared" si="4"/>
        <v>228.60987349999999</v>
      </c>
      <c r="F50" s="346">
        <f t="shared" si="3"/>
        <v>3.5261403136580265E-2</v>
      </c>
      <c r="G50" s="641"/>
    </row>
    <row r="51" spans="2:7" ht="13.8" x14ac:dyDescent="0.2">
      <c r="B51" s="149">
        <v>6</v>
      </c>
      <c r="C51" s="345" t="s">
        <v>158</v>
      </c>
      <c r="D51" s="343">
        <f>+D14/1000000</f>
        <v>684.64265999999998</v>
      </c>
      <c r="E51" s="343">
        <f>E14/1000000</f>
        <v>236.75731089999999</v>
      </c>
      <c r="F51" s="346">
        <f t="shared" si="3"/>
        <v>0.34581150829835816</v>
      </c>
      <c r="G51" s="641"/>
    </row>
    <row r="52" spans="2:7" ht="13.8" x14ac:dyDescent="0.2">
      <c r="B52" s="149">
        <v>7</v>
      </c>
      <c r="C52" s="345" t="s">
        <v>159</v>
      </c>
      <c r="D52" s="343">
        <f>D15/1000000</f>
        <v>1800</v>
      </c>
      <c r="E52" s="343">
        <f>E15/1000000</f>
        <v>371.95166699999999</v>
      </c>
      <c r="F52" s="346">
        <f t="shared" si="3"/>
        <v>0.206639815</v>
      </c>
      <c r="G52" s="641"/>
    </row>
    <row r="53" spans="2:7" ht="13.8" x14ac:dyDescent="0.2">
      <c r="B53" s="347">
        <v>9</v>
      </c>
      <c r="C53" s="348" t="s">
        <v>160</v>
      </c>
      <c r="D53" s="343">
        <f>+D16/1000000</f>
        <v>725.38386835000006</v>
      </c>
      <c r="E53" s="343" t="s">
        <v>16</v>
      </c>
      <c r="F53" s="346" t="s">
        <v>16</v>
      </c>
      <c r="G53" s="641"/>
    </row>
    <row r="54" spans="2:7" ht="14.4" thickBot="1" x14ac:dyDescent="0.25">
      <c r="B54" s="349"/>
      <c r="C54" s="350" t="s">
        <v>130</v>
      </c>
      <c r="D54" s="351">
        <f>SUM(D47:D53)</f>
        <v>24337.962783069997</v>
      </c>
      <c r="E54" s="351">
        <f>SUM(E47:E53)</f>
        <v>6236.1489286999995</v>
      </c>
      <c r="F54" s="352">
        <f t="shared" si="3"/>
        <v>0.25623134459873514</v>
      </c>
      <c r="G54" s="642"/>
    </row>
    <row r="55" spans="2:7" ht="13.8" x14ac:dyDescent="0.2">
      <c r="B55" s="353"/>
      <c r="C55" s="354"/>
      <c r="D55" s="355"/>
      <c r="E55" s="355"/>
      <c r="F55" s="355"/>
      <c r="G55" s="355"/>
    </row>
    <row r="56" spans="2:7" ht="13.8" x14ac:dyDescent="0.2">
      <c r="B56" s="976" t="str">
        <f>+B42</f>
        <v>PRESUPUESTO EJERCICIO ECONOMICO 2026</v>
      </c>
      <c r="C56" s="976"/>
      <c r="D56" s="976"/>
      <c r="E56" s="976"/>
      <c r="F56" s="976"/>
      <c r="G56" s="356"/>
    </row>
    <row r="57" spans="2:7" ht="13.8" x14ac:dyDescent="0.2">
      <c r="B57" s="976" t="str">
        <f>+B43</f>
        <v>INFORME DE EJECUCIÓN PRESUPUESTARIA AL 30 DE JUNIO DEL 2026</v>
      </c>
      <c r="C57" s="976"/>
      <c r="D57" s="976"/>
      <c r="E57" s="976"/>
      <c r="F57" s="976"/>
      <c r="G57" s="356"/>
    </row>
    <row r="58" spans="2:7" ht="13.8" x14ac:dyDescent="0.2">
      <c r="B58" s="976" t="s">
        <v>258</v>
      </c>
      <c r="C58" s="976"/>
      <c r="D58" s="976"/>
      <c r="E58" s="976"/>
      <c r="F58" s="976"/>
      <c r="G58" s="356"/>
    </row>
    <row r="59" spans="2:7" ht="13.8" x14ac:dyDescent="0.2">
      <c r="B59" s="356"/>
      <c r="C59" s="357"/>
      <c r="D59" s="355"/>
      <c r="E59" s="355"/>
      <c r="F59" s="355"/>
      <c r="G59" s="355"/>
    </row>
    <row r="60" spans="2:7" ht="27.6" x14ac:dyDescent="0.2">
      <c r="B60" s="977" t="s">
        <v>136</v>
      </c>
      <c r="C60" s="977"/>
      <c r="D60" s="340" t="s">
        <v>256</v>
      </c>
      <c r="E60" s="340" t="s">
        <v>257</v>
      </c>
      <c r="F60" s="340" t="s">
        <v>155</v>
      </c>
      <c r="G60" s="640"/>
    </row>
    <row r="61" spans="2:7" ht="13.8" x14ac:dyDescent="0.2">
      <c r="B61" s="358">
        <v>1</v>
      </c>
      <c r="C61" s="359" t="s">
        <v>259</v>
      </c>
      <c r="D61" s="360">
        <f>SUM(D62:D63)</f>
        <v>15329.289732650001</v>
      </c>
      <c r="E61" s="360">
        <f>SUM(E62:E63)</f>
        <v>5635.5873881999996</v>
      </c>
      <c r="F61" s="361">
        <f>E61/D61</f>
        <v>0.36763525815528869</v>
      </c>
      <c r="G61" s="643"/>
    </row>
    <row r="62" spans="2:7" ht="13.8" x14ac:dyDescent="0.2">
      <c r="B62" s="362" t="s">
        <v>504</v>
      </c>
      <c r="C62" s="363" t="s">
        <v>261</v>
      </c>
      <c r="D62" s="364">
        <f>(Consolidado!M13+Consolidado!M41-Consolidado!M83+Consolidado!M89)/1000000</f>
        <v>14642.84707265</v>
      </c>
      <c r="E62" s="364">
        <f>(Consolidado!R13+Consolidado!R41-Consolidado!R83+Consolidado!R89)/1000000</f>
        <v>5398.6903352999998</v>
      </c>
      <c r="F62" s="346">
        <f t="shared" ref="F62:F71" si="5">E62/D62</f>
        <v>0.36869130084570145</v>
      </c>
      <c r="G62" s="641"/>
    </row>
    <row r="63" spans="2:7" ht="13.8" x14ac:dyDescent="0.2">
      <c r="B63" s="362" t="s">
        <v>12</v>
      </c>
      <c r="C63" s="363" t="s">
        <v>158</v>
      </c>
      <c r="D63" s="364">
        <f>(Consolidado!M83+Consolidado!M131)/1000000</f>
        <v>686.44266000000005</v>
      </c>
      <c r="E63" s="364">
        <f>(Consolidado!R83+Consolidado!R131)/1000000</f>
        <v>236.89705290000001</v>
      </c>
      <c r="F63" s="346">
        <f t="shared" si="5"/>
        <v>0.34510829047250646</v>
      </c>
      <c r="G63" s="641"/>
    </row>
    <row r="64" spans="2:7" ht="13.8" x14ac:dyDescent="0.2">
      <c r="B64" s="362"/>
      <c r="C64" s="363"/>
      <c r="D64" s="364"/>
      <c r="E64" s="364"/>
      <c r="F64" s="346"/>
      <c r="G64" s="641"/>
    </row>
    <row r="65" spans="2:26" ht="13.8" x14ac:dyDescent="0.2">
      <c r="B65" s="365">
        <v>2</v>
      </c>
      <c r="C65" s="366" t="s">
        <v>260</v>
      </c>
      <c r="D65" s="367">
        <f>D66+D67+D68</f>
        <v>8283.2891820699988</v>
      </c>
      <c r="E65" s="367">
        <f>SUM(E66:E70)</f>
        <v>600.56154049999998</v>
      </c>
      <c r="F65" s="346">
        <f t="shared" si="5"/>
        <v>7.2502785704979977E-2</v>
      </c>
      <c r="G65" s="641"/>
    </row>
    <row r="66" spans="2:26" ht="13.8" x14ac:dyDescent="0.2">
      <c r="B66" s="362" t="s">
        <v>505</v>
      </c>
      <c r="C66" s="363" t="s">
        <v>262</v>
      </c>
      <c r="D66" s="364">
        <f>(Consolidado!M124/1000000)</f>
        <v>5556.5891820699999</v>
      </c>
      <c r="E66" s="364">
        <f>+Consolidado!R124/1000000</f>
        <v>94.161616120000005</v>
      </c>
      <c r="F66" s="346">
        <f t="shared" si="5"/>
        <v>1.6945938062839103E-2</v>
      </c>
      <c r="G66" s="641"/>
    </row>
    <row r="67" spans="2:26" ht="13.8" x14ac:dyDescent="0.2">
      <c r="B67" s="362" t="s">
        <v>507</v>
      </c>
      <c r="C67" s="363" t="s">
        <v>263</v>
      </c>
      <c r="D67" s="364">
        <f>(Consolidado!M118+Consolidado!M128)/1000000</f>
        <v>926.7</v>
      </c>
      <c r="E67" s="364">
        <f>(Consolidado!R118+Consolidado!R128)/1000000</f>
        <v>134.44825738</v>
      </c>
      <c r="F67" s="346">
        <f t="shared" si="5"/>
        <v>0.14508282872558539</v>
      </c>
      <c r="G67" s="641"/>
    </row>
    <row r="68" spans="2:26" ht="13.8" x14ac:dyDescent="0.2">
      <c r="B68" s="362" t="s">
        <v>506</v>
      </c>
      <c r="C68" s="363" t="s">
        <v>159</v>
      </c>
      <c r="D68" s="364">
        <f>+Consolidado!M147/1000000</f>
        <v>1800</v>
      </c>
      <c r="E68" s="364">
        <f>Consolidado!R147/1000000</f>
        <v>371.95166699999999</v>
      </c>
      <c r="F68" s="346">
        <f t="shared" si="5"/>
        <v>0.206639815</v>
      </c>
      <c r="G68" s="641"/>
    </row>
    <row r="69" spans="2:26" ht="13.8" x14ac:dyDescent="0.2">
      <c r="B69" s="368"/>
      <c r="C69" s="369"/>
      <c r="D69" s="370"/>
      <c r="E69" s="370"/>
      <c r="F69" s="371"/>
      <c r="G69" s="641"/>
    </row>
    <row r="70" spans="2:26" ht="13.8" x14ac:dyDescent="0.2">
      <c r="B70" s="633">
        <v>4</v>
      </c>
      <c r="C70" s="634" t="s">
        <v>508</v>
      </c>
      <c r="D70" s="635">
        <f>+Consolidado!M151/1000000</f>
        <v>725.38386835000006</v>
      </c>
      <c r="E70" s="635">
        <f>+Consolidado!R151</f>
        <v>0</v>
      </c>
      <c r="F70" s="636"/>
      <c r="G70" s="643"/>
    </row>
    <row r="71" spans="2:26" ht="14.4" thickBot="1" x14ac:dyDescent="0.25">
      <c r="B71" s="372"/>
      <c r="C71" s="373" t="s">
        <v>122</v>
      </c>
      <c r="D71" s="374">
        <f>D61+D65</f>
        <v>23612.578914719998</v>
      </c>
      <c r="E71" s="374">
        <f>E61+E65</f>
        <v>6236.1489286999995</v>
      </c>
      <c r="F71" s="375">
        <f t="shared" si="5"/>
        <v>0.26410283058122069</v>
      </c>
      <c r="G71" s="642"/>
    </row>
    <row r="72" spans="2:26" ht="10.8" thickTop="1" x14ac:dyDescent="0.2"/>
    <row r="74" spans="2:26" ht="12.75" customHeight="1" x14ac:dyDescent="0.2"/>
    <row r="77" spans="2:26" ht="13.8" x14ac:dyDescent="0.2">
      <c r="O77" s="644"/>
      <c r="P77" s="644"/>
      <c r="Q77" s="644"/>
      <c r="R77" s="644"/>
      <c r="S77" s="644"/>
      <c r="T77" s="644"/>
      <c r="U77" s="644"/>
      <c r="V77" s="644"/>
      <c r="W77" s="644"/>
      <c r="X77" s="644"/>
      <c r="Y77" s="644"/>
      <c r="Z77" s="644"/>
    </row>
    <row r="78" spans="2:26" ht="13.8" x14ac:dyDescent="0.2">
      <c r="O78" s="644"/>
      <c r="P78" s="644"/>
      <c r="Q78" s="644"/>
      <c r="R78" s="644"/>
      <c r="S78" s="644"/>
      <c r="T78" s="644"/>
      <c r="U78" s="644"/>
      <c r="V78" s="644"/>
      <c r="W78" s="644"/>
      <c r="X78" s="644"/>
      <c r="Y78" s="644"/>
      <c r="Z78" s="644"/>
    </row>
  </sheetData>
  <mergeCells count="9">
    <mergeCell ref="C8:G8"/>
    <mergeCell ref="B56:F56"/>
    <mergeCell ref="B57:F57"/>
    <mergeCell ref="B58:F58"/>
    <mergeCell ref="B60:C60"/>
    <mergeCell ref="B42:F42"/>
    <mergeCell ref="B43:F43"/>
    <mergeCell ref="B44:F44"/>
    <mergeCell ref="B46:C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9" tint="-0.249977111117893"/>
  </sheetPr>
  <dimension ref="A1:AA158"/>
  <sheetViews>
    <sheetView topLeftCell="A134" zoomScale="106" zoomScaleNormal="106" workbookViewId="0">
      <selection sqref="A1:S157"/>
    </sheetView>
  </sheetViews>
  <sheetFormatPr baseColWidth="10" defaultColWidth="12" defaultRowHeight="12" customHeight="1" x14ac:dyDescent="0.3"/>
  <cols>
    <col min="1" max="1" width="11.28515625" style="6" customWidth="1"/>
    <col min="2" max="2" width="11" style="52" customWidth="1"/>
    <col min="3" max="3" width="34.85546875" style="52" customWidth="1"/>
    <col min="4" max="4" width="22.42578125" style="6" customWidth="1"/>
    <col min="5" max="6" width="18" style="10" bestFit="1" customWidth="1"/>
    <col min="7" max="10" width="6" style="10" hidden="1" customWidth="1"/>
    <col min="11" max="11" width="19.42578125" style="9" bestFit="1" customWidth="1"/>
    <col min="12" max="12" width="21.28515625" style="19" customWidth="1"/>
    <col min="13" max="13" width="24.140625" style="9" bestFit="1" customWidth="1"/>
    <col min="14" max="16" width="18.7109375" style="9" bestFit="1" customWidth="1"/>
    <col min="17" max="17" width="20.7109375" style="474" bestFit="1" customWidth="1"/>
    <col min="18" max="18" width="22.28515625" style="9" bestFit="1" customWidth="1"/>
    <col min="19" max="19" width="13.140625" style="50" customWidth="1"/>
    <col min="20" max="20" width="14" style="43" customWidth="1"/>
    <col min="21" max="21" width="14.7109375" style="43" customWidth="1"/>
    <col min="22" max="16384" width="12" style="43"/>
  </cols>
  <sheetData>
    <row r="1" spans="1:19" ht="24.75" customHeight="1" x14ac:dyDescent="0.3">
      <c r="A1" s="794"/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</row>
    <row r="2" spans="1:19" ht="16.2" customHeight="1" x14ac:dyDescent="0.3">
      <c r="E2" s="816" t="s">
        <v>38</v>
      </c>
      <c r="F2" s="816"/>
      <c r="G2" s="816"/>
      <c r="H2" s="816"/>
      <c r="I2" s="816"/>
      <c r="J2" s="816"/>
      <c r="K2" s="816"/>
      <c r="L2" s="816"/>
      <c r="M2" s="816"/>
      <c r="N2" s="816"/>
      <c r="O2" s="816"/>
      <c r="P2" s="816"/>
      <c r="Q2" s="816"/>
      <c r="R2" s="816"/>
      <c r="S2" s="816"/>
    </row>
    <row r="3" spans="1:19" s="16" customFormat="1" ht="16.2" customHeight="1" x14ac:dyDescent="0.2">
      <c r="A3" s="8"/>
      <c r="B3" s="475"/>
      <c r="C3" s="475"/>
      <c r="D3" s="7"/>
      <c r="E3" s="816" t="s">
        <v>276</v>
      </c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</row>
    <row r="4" spans="1:19" s="16" customFormat="1" ht="16.2" customHeight="1" x14ac:dyDescent="0.2">
      <c r="A4" s="8"/>
      <c r="B4" s="475"/>
      <c r="C4" s="475"/>
      <c r="D4" s="7"/>
      <c r="E4" s="816" t="s">
        <v>39</v>
      </c>
      <c r="F4" s="816"/>
      <c r="G4" s="816"/>
      <c r="H4" s="816"/>
      <c r="I4" s="816"/>
      <c r="J4" s="816"/>
      <c r="K4" s="816"/>
      <c r="L4" s="816"/>
      <c r="M4" s="816"/>
      <c r="N4" s="816"/>
      <c r="O4" s="816"/>
      <c r="P4" s="816"/>
      <c r="Q4" s="816"/>
      <c r="R4" s="816"/>
      <c r="S4" s="816"/>
    </row>
    <row r="5" spans="1:19" s="16" customFormat="1" ht="16.2" customHeight="1" x14ac:dyDescent="0.2">
      <c r="A5" s="8"/>
      <c r="B5" s="475"/>
      <c r="C5" s="475"/>
      <c r="D5" s="7"/>
      <c r="E5" s="816" t="s">
        <v>40</v>
      </c>
      <c r="F5" s="816"/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6"/>
    </row>
    <row r="6" spans="1:19" s="16" customFormat="1" ht="16.2" customHeight="1" x14ac:dyDescent="0.2">
      <c r="A6" s="8"/>
      <c r="B6" s="475"/>
      <c r="C6" s="475"/>
      <c r="D6" s="7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</row>
    <row r="7" spans="1:19" s="16" customFormat="1" ht="16.2" customHeight="1" x14ac:dyDescent="0.2">
      <c r="A7" s="8"/>
      <c r="B7" s="475"/>
      <c r="C7" s="475"/>
      <c r="D7" s="7"/>
      <c r="E7" s="816" t="str">
        <f>+Ingresos!E6</f>
        <v>AL 30 DE JUNIO DEL 2026</v>
      </c>
      <c r="F7" s="816"/>
      <c r="G7" s="816"/>
      <c r="H7" s="816"/>
      <c r="I7" s="816"/>
      <c r="J7" s="816"/>
      <c r="K7" s="816"/>
      <c r="L7" s="816"/>
      <c r="M7" s="816"/>
      <c r="N7" s="816"/>
      <c r="O7" s="816"/>
      <c r="P7" s="816"/>
      <c r="Q7" s="816"/>
      <c r="R7" s="816"/>
      <c r="S7" s="816"/>
    </row>
    <row r="8" spans="1:19" s="16" customFormat="1" ht="12.6" customHeight="1" x14ac:dyDescent="0.2">
      <c r="A8" s="8"/>
      <c r="B8" s="475"/>
      <c r="C8" s="47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11" customFormat="1" ht="18" customHeight="1" x14ac:dyDescent="0.2">
      <c r="A9" s="813" t="s">
        <v>41</v>
      </c>
      <c r="B9" s="791" t="s">
        <v>42</v>
      </c>
      <c r="C9" s="791" t="s">
        <v>43</v>
      </c>
      <c r="D9" s="791" t="s">
        <v>4</v>
      </c>
      <c r="E9" s="807" t="s">
        <v>44</v>
      </c>
      <c r="F9" s="807"/>
      <c r="G9" s="807"/>
      <c r="H9" s="807"/>
      <c r="I9" s="807"/>
      <c r="J9" s="807"/>
      <c r="K9" s="807"/>
      <c r="L9" s="803" t="s">
        <v>5</v>
      </c>
      <c r="M9" s="806" t="s">
        <v>45</v>
      </c>
      <c r="N9" s="807"/>
      <c r="O9" s="807"/>
      <c r="P9" s="807"/>
      <c r="Q9" s="808"/>
      <c r="R9" s="797" t="s">
        <v>46</v>
      </c>
      <c r="S9" s="800" t="s">
        <v>47</v>
      </c>
    </row>
    <row r="10" spans="1:19" s="11" customFormat="1" ht="16.5" customHeight="1" x14ac:dyDescent="0.2">
      <c r="A10" s="814"/>
      <c r="B10" s="792"/>
      <c r="C10" s="792"/>
      <c r="D10" s="792"/>
      <c r="E10" s="811"/>
      <c r="F10" s="811"/>
      <c r="G10" s="811"/>
      <c r="H10" s="811"/>
      <c r="I10" s="811"/>
      <c r="J10" s="811"/>
      <c r="K10" s="811"/>
      <c r="L10" s="804"/>
      <c r="M10" s="809" t="s">
        <v>8</v>
      </c>
      <c r="N10" s="811" t="s">
        <v>509</v>
      </c>
      <c r="O10" s="811" t="s">
        <v>510</v>
      </c>
      <c r="P10" s="811" t="s">
        <v>511</v>
      </c>
      <c r="Q10" s="795" t="s">
        <v>48</v>
      </c>
      <c r="R10" s="798"/>
      <c r="S10" s="801"/>
    </row>
    <row r="11" spans="1:19" s="11" customFormat="1" ht="18.75" customHeight="1" x14ac:dyDescent="0.2">
      <c r="A11" s="815"/>
      <c r="B11" s="793"/>
      <c r="C11" s="793"/>
      <c r="D11" s="793"/>
      <c r="E11" s="483" t="s">
        <v>266</v>
      </c>
      <c r="F11" s="483" t="s">
        <v>267</v>
      </c>
      <c r="G11" s="483"/>
      <c r="H11" s="483"/>
      <c r="I11" s="483"/>
      <c r="J11" s="483"/>
      <c r="K11" s="410" t="s">
        <v>49</v>
      </c>
      <c r="L11" s="805"/>
      <c r="M11" s="810"/>
      <c r="N11" s="812"/>
      <c r="O11" s="812"/>
      <c r="P11" s="812"/>
      <c r="Q11" s="796"/>
      <c r="R11" s="799"/>
      <c r="S11" s="802"/>
    </row>
    <row r="12" spans="1:19" s="11" customFormat="1" ht="14.4" x14ac:dyDescent="0.2">
      <c r="A12" s="536"/>
      <c r="B12" s="537"/>
      <c r="C12" s="537"/>
      <c r="D12" s="537"/>
      <c r="E12" s="538"/>
      <c r="F12" s="538"/>
      <c r="G12" s="538"/>
      <c r="H12" s="538"/>
      <c r="I12" s="538"/>
      <c r="J12" s="538"/>
      <c r="K12" s="539"/>
      <c r="L12" s="540"/>
      <c r="M12" s="647"/>
      <c r="N12" s="539"/>
      <c r="O12" s="539"/>
      <c r="P12" s="539"/>
      <c r="Q12" s="648"/>
      <c r="R12" s="541"/>
      <c r="S12" s="466"/>
    </row>
    <row r="13" spans="1:19" s="11" customFormat="1" ht="14.4" x14ac:dyDescent="0.2">
      <c r="A13" s="437">
        <v>1</v>
      </c>
      <c r="B13" s="439" t="s">
        <v>278</v>
      </c>
      <c r="C13" s="655" t="s">
        <v>51</v>
      </c>
      <c r="D13" s="440">
        <f>SUM(D14+D18+D23+D29+D35)</f>
        <v>2952135002.75</v>
      </c>
      <c r="E13" s="440">
        <f t="shared" ref="E13:R13" si="0">SUM(E14+E18+E23+E29+E35)</f>
        <v>0</v>
      </c>
      <c r="F13" s="440">
        <f t="shared" si="0"/>
        <v>0</v>
      </c>
      <c r="G13" s="440">
        <f t="shared" si="0"/>
        <v>0</v>
      </c>
      <c r="H13" s="440">
        <f t="shared" ref="H13:I13" si="1">SUM(H14+H18+H23+H29+H35)</f>
        <v>0</v>
      </c>
      <c r="I13" s="440">
        <f t="shared" si="1"/>
        <v>0</v>
      </c>
      <c r="J13" s="440">
        <f t="shared" si="0"/>
        <v>0</v>
      </c>
      <c r="K13" s="440">
        <f t="shared" si="0"/>
        <v>0</v>
      </c>
      <c r="L13" s="506">
        <f t="shared" si="0"/>
        <v>2952135002.75</v>
      </c>
      <c r="M13" s="522">
        <v>733887504.21000004</v>
      </c>
      <c r="N13" s="440">
        <v>186430388.63</v>
      </c>
      <c r="O13" s="440">
        <v>184599133.30000001</v>
      </c>
      <c r="P13" s="440">
        <f t="shared" si="0"/>
        <v>182389665.87</v>
      </c>
      <c r="Q13" s="523">
        <f t="shared" si="0"/>
        <v>1287306692.01</v>
      </c>
      <c r="R13" s="514">
        <f t="shared" si="0"/>
        <v>1664828310.74</v>
      </c>
      <c r="S13" s="467">
        <f t="shared" ref="S13:S39" si="2">Q13/L13</f>
        <v>0.43605956055899753</v>
      </c>
    </row>
    <row r="14" spans="1:19" s="11" customFormat="1" ht="14.4" x14ac:dyDescent="0.2">
      <c r="A14" s="432"/>
      <c r="B14" s="420" t="s">
        <v>53</v>
      </c>
      <c r="C14" s="654" t="s">
        <v>279</v>
      </c>
      <c r="D14" s="422">
        <f>SUM(D15:D17)</f>
        <v>1474140358.04</v>
      </c>
      <c r="E14" s="422">
        <f t="shared" ref="E14:R14" si="3">SUM(E15:E17)</f>
        <v>0</v>
      </c>
      <c r="F14" s="422">
        <f t="shared" si="3"/>
        <v>0</v>
      </c>
      <c r="G14" s="422">
        <f t="shared" si="3"/>
        <v>0</v>
      </c>
      <c r="H14" s="422">
        <f t="shared" ref="H14:I14" si="4">SUM(H15:H17)</f>
        <v>0</v>
      </c>
      <c r="I14" s="422">
        <f t="shared" si="4"/>
        <v>0</v>
      </c>
      <c r="J14" s="422">
        <f t="shared" si="3"/>
        <v>0</v>
      </c>
      <c r="K14" s="422">
        <f t="shared" si="3"/>
        <v>0</v>
      </c>
      <c r="L14" s="507">
        <f t="shared" si="3"/>
        <v>1474140358.04</v>
      </c>
      <c r="M14" s="524">
        <v>293067460.54000002</v>
      </c>
      <c r="N14" s="422">
        <v>97264933.129999995</v>
      </c>
      <c r="O14" s="422">
        <v>96863639.169999987</v>
      </c>
      <c r="P14" s="422">
        <f t="shared" si="3"/>
        <v>97332092.739999995</v>
      </c>
      <c r="Q14" s="525">
        <f t="shared" si="3"/>
        <v>584528125.57999992</v>
      </c>
      <c r="R14" s="515">
        <f t="shared" si="3"/>
        <v>889612232.46000004</v>
      </c>
      <c r="S14" s="468">
        <f t="shared" si="2"/>
        <v>0.39652135048875659</v>
      </c>
    </row>
    <row r="15" spans="1:19" s="16" customFormat="1" ht="14.4" x14ac:dyDescent="0.2">
      <c r="A15" s="492" t="s">
        <v>52</v>
      </c>
      <c r="B15" s="423" t="s">
        <v>280</v>
      </c>
      <c r="C15" s="424" t="s">
        <v>281</v>
      </c>
      <c r="D15" s="425">
        <v>1429944569.5899999</v>
      </c>
      <c r="E15" s="425">
        <v>0</v>
      </c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f>SUM(E15:J15)</f>
        <v>0</v>
      </c>
      <c r="L15" s="508">
        <f>D15+K15</f>
        <v>1429944569.5899999</v>
      </c>
      <c r="M15" s="526">
        <v>284724312.68000001</v>
      </c>
      <c r="N15" s="425">
        <v>94821588.129999995</v>
      </c>
      <c r="O15" s="425">
        <v>94289221.269999981</v>
      </c>
      <c r="P15" s="425">
        <f>Q15-M15-N15-O15</f>
        <v>94888747.699999988</v>
      </c>
      <c r="Q15" s="527">
        <v>568723869.77999997</v>
      </c>
      <c r="R15" s="516">
        <f>L15-Q15</f>
        <v>861220699.80999994</v>
      </c>
      <c r="S15" s="469">
        <f>Q15/L15</f>
        <v>0.39772441664858871</v>
      </c>
    </row>
    <row r="16" spans="1:19" s="16" customFormat="1" ht="14.4" x14ac:dyDescent="0.2">
      <c r="A16" s="492" t="s">
        <v>52</v>
      </c>
      <c r="B16" s="423" t="s">
        <v>282</v>
      </c>
      <c r="C16" s="424" t="s">
        <v>283</v>
      </c>
      <c r="D16" s="425">
        <v>19195788.449999999</v>
      </c>
      <c r="E16" s="425">
        <v>0</v>
      </c>
      <c r="F16" s="425">
        <v>0</v>
      </c>
      <c r="G16" s="425">
        <v>0</v>
      </c>
      <c r="H16" s="425">
        <v>0</v>
      </c>
      <c r="I16" s="425">
        <v>0</v>
      </c>
      <c r="J16" s="425">
        <v>0</v>
      </c>
      <c r="K16" s="425">
        <f t="shared" ref="K16:K17" si="5">SUM(E16:J16)</f>
        <v>0</v>
      </c>
      <c r="L16" s="508">
        <f t="shared" ref="L16:L17" si="6">D16+K16</f>
        <v>19195788.449999999</v>
      </c>
      <c r="M16" s="526">
        <v>0</v>
      </c>
      <c r="N16" s="425">
        <v>0</v>
      </c>
      <c r="O16" s="425">
        <v>0</v>
      </c>
      <c r="P16" s="425">
        <f t="shared" ref="P16:P17" si="7">Q16-M16-N16-O16</f>
        <v>0</v>
      </c>
      <c r="Q16" s="527">
        <v>0</v>
      </c>
      <c r="R16" s="516">
        <f t="shared" ref="R16:R17" si="8">L16-Q16</f>
        <v>19195788.449999999</v>
      </c>
      <c r="S16" s="469">
        <f t="shared" ref="S16:S17" si="9">Q16/L16</f>
        <v>0</v>
      </c>
    </row>
    <row r="17" spans="1:19" s="11" customFormat="1" ht="14.4" x14ac:dyDescent="0.2">
      <c r="A17" s="492" t="s">
        <v>52</v>
      </c>
      <c r="B17" s="423" t="s">
        <v>284</v>
      </c>
      <c r="C17" s="424" t="s">
        <v>54</v>
      </c>
      <c r="D17" s="425">
        <v>25000000</v>
      </c>
      <c r="E17" s="425">
        <v>0</v>
      </c>
      <c r="F17" s="425">
        <v>0</v>
      </c>
      <c r="G17" s="425">
        <v>0</v>
      </c>
      <c r="H17" s="425">
        <v>0</v>
      </c>
      <c r="I17" s="425">
        <v>0</v>
      </c>
      <c r="J17" s="425">
        <v>0</v>
      </c>
      <c r="K17" s="425">
        <f t="shared" si="5"/>
        <v>0</v>
      </c>
      <c r="L17" s="508">
        <f t="shared" si="6"/>
        <v>25000000</v>
      </c>
      <c r="M17" s="526">
        <v>8343147.8600000003</v>
      </c>
      <c r="N17" s="425">
        <v>2443344.9999999991</v>
      </c>
      <c r="O17" s="425">
        <v>2574417.9000000004</v>
      </c>
      <c r="P17" s="425">
        <f t="shared" si="7"/>
        <v>2443345.040000001</v>
      </c>
      <c r="Q17" s="527">
        <v>15804255.800000001</v>
      </c>
      <c r="R17" s="516">
        <f t="shared" si="8"/>
        <v>9195744.1999999993</v>
      </c>
      <c r="S17" s="469">
        <f t="shared" si="9"/>
        <v>0.632170232</v>
      </c>
    </row>
    <row r="18" spans="1:19" s="16" customFormat="1" ht="28.8" x14ac:dyDescent="0.3">
      <c r="A18" s="432" t="s">
        <v>52</v>
      </c>
      <c r="B18" s="427" t="s">
        <v>55</v>
      </c>
      <c r="C18" s="654" t="s">
        <v>285</v>
      </c>
      <c r="D18" s="422">
        <f>SUM(D19:D22)</f>
        <v>59406914</v>
      </c>
      <c r="E18" s="422">
        <f t="shared" ref="E18:R18" si="10">SUM(E19:E22)</f>
        <v>0</v>
      </c>
      <c r="F18" s="422">
        <f t="shared" si="10"/>
        <v>0</v>
      </c>
      <c r="G18" s="422">
        <f t="shared" si="10"/>
        <v>0</v>
      </c>
      <c r="H18" s="422">
        <f t="shared" ref="H18:I18" si="11">SUM(H19:H22)</f>
        <v>0</v>
      </c>
      <c r="I18" s="422">
        <f t="shared" si="11"/>
        <v>0</v>
      </c>
      <c r="J18" s="422">
        <f t="shared" si="10"/>
        <v>0</v>
      </c>
      <c r="K18" s="422">
        <f t="shared" si="10"/>
        <v>0</v>
      </c>
      <c r="L18" s="507">
        <f t="shared" si="10"/>
        <v>59406914</v>
      </c>
      <c r="M18" s="524">
        <v>9508998.9800000004</v>
      </c>
      <c r="N18" s="422">
        <v>4387193.4699999988</v>
      </c>
      <c r="O18" s="422">
        <v>4387015.79</v>
      </c>
      <c r="P18" s="422">
        <f t="shared" si="10"/>
        <v>4975953.8000000045</v>
      </c>
      <c r="Q18" s="525">
        <f t="shared" si="10"/>
        <v>23259162.040000003</v>
      </c>
      <c r="R18" s="515">
        <f t="shared" si="10"/>
        <v>36147751.959999993</v>
      </c>
      <c r="S18" s="468">
        <f t="shared" si="2"/>
        <v>0.39152281231103847</v>
      </c>
    </row>
    <row r="19" spans="1:19" s="16" customFormat="1" ht="14.4" x14ac:dyDescent="0.2">
      <c r="A19" s="492" t="s">
        <v>52</v>
      </c>
      <c r="B19" s="423" t="s">
        <v>286</v>
      </c>
      <c r="C19" s="424" t="s">
        <v>287</v>
      </c>
      <c r="D19" s="425">
        <v>40200000</v>
      </c>
      <c r="E19" s="425">
        <v>0</v>
      </c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f t="shared" ref="K19:K22" si="12">SUM(E19:J19)</f>
        <v>0</v>
      </c>
      <c r="L19" s="508">
        <f t="shared" ref="L19:L22" si="13">D19+K19</f>
        <v>40200000</v>
      </c>
      <c r="M19" s="526">
        <v>7407181.6100000003</v>
      </c>
      <c r="N19" s="425">
        <v>3877305.5799999991</v>
      </c>
      <c r="O19" s="425">
        <v>3480548.4299999997</v>
      </c>
      <c r="P19" s="425">
        <f t="shared" ref="P19:P22" si="14">Q19-M19-N19-O19</f>
        <v>4975953.8000000045</v>
      </c>
      <c r="Q19" s="527">
        <v>19740989.420000002</v>
      </c>
      <c r="R19" s="516">
        <f t="shared" ref="R19:R22" si="15">L19-Q19</f>
        <v>20459010.579999998</v>
      </c>
      <c r="S19" s="469">
        <f t="shared" si="2"/>
        <v>0.49106938855721399</v>
      </c>
    </row>
    <row r="20" spans="1:19" s="16" customFormat="1" ht="14.4" x14ac:dyDescent="0.2">
      <c r="A20" s="492" t="s">
        <v>52</v>
      </c>
      <c r="B20" s="423" t="s">
        <v>288</v>
      </c>
      <c r="C20" s="424" t="s">
        <v>56</v>
      </c>
      <c r="D20" s="425">
        <v>2000000</v>
      </c>
      <c r="E20" s="425">
        <v>0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f t="shared" si="12"/>
        <v>0</v>
      </c>
      <c r="L20" s="508">
        <f t="shared" si="13"/>
        <v>2000000</v>
      </c>
      <c r="M20" s="526">
        <v>0</v>
      </c>
      <c r="N20" s="425">
        <v>0</v>
      </c>
      <c r="O20" s="425">
        <v>0</v>
      </c>
      <c r="P20" s="425">
        <f t="shared" si="14"/>
        <v>0</v>
      </c>
      <c r="Q20" s="527">
        <v>0</v>
      </c>
      <c r="R20" s="516">
        <f t="shared" si="15"/>
        <v>2000000</v>
      </c>
      <c r="S20" s="469">
        <f t="shared" si="2"/>
        <v>0</v>
      </c>
    </row>
    <row r="21" spans="1:19" s="11" customFormat="1" ht="14.4" x14ac:dyDescent="0.2">
      <c r="A21" s="492" t="s">
        <v>52</v>
      </c>
      <c r="B21" s="423" t="s">
        <v>289</v>
      </c>
      <c r="C21" s="424" t="s">
        <v>57</v>
      </c>
      <c r="D21" s="425">
        <v>0</v>
      </c>
      <c r="E21" s="425">
        <v>0</v>
      </c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f t="shared" si="12"/>
        <v>0</v>
      </c>
      <c r="L21" s="508">
        <f t="shared" si="13"/>
        <v>0</v>
      </c>
      <c r="M21" s="526">
        <v>0</v>
      </c>
      <c r="N21" s="425">
        <v>0</v>
      </c>
      <c r="O21" s="425">
        <v>0</v>
      </c>
      <c r="P21" s="425">
        <f t="shared" si="14"/>
        <v>0</v>
      </c>
      <c r="Q21" s="527">
        <v>0</v>
      </c>
      <c r="R21" s="516">
        <f t="shared" si="15"/>
        <v>0</v>
      </c>
      <c r="S21" s="469">
        <v>0</v>
      </c>
    </row>
    <row r="22" spans="1:19" s="16" customFormat="1" ht="14.4" x14ac:dyDescent="0.2">
      <c r="A22" s="492" t="s">
        <v>52</v>
      </c>
      <c r="B22" s="423" t="s">
        <v>290</v>
      </c>
      <c r="C22" s="424" t="s">
        <v>58</v>
      </c>
      <c r="D22" s="425">
        <v>17206914</v>
      </c>
      <c r="E22" s="425">
        <v>0</v>
      </c>
      <c r="F22" s="425">
        <v>0</v>
      </c>
      <c r="G22" s="425">
        <v>0</v>
      </c>
      <c r="H22" s="425">
        <v>0</v>
      </c>
      <c r="I22" s="425">
        <v>0</v>
      </c>
      <c r="J22" s="425">
        <v>0</v>
      </c>
      <c r="K22" s="425">
        <f t="shared" si="12"/>
        <v>0</v>
      </c>
      <c r="L22" s="508">
        <f t="shared" si="13"/>
        <v>17206914</v>
      </c>
      <c r="M22" s="526">
        <v>2101817.37</v>
      </c>
      <c r="N22" s="425">
        <v>509887.88999999966</v>
      </c>
      <c r="O22" s="425">
        <v>906467.36000000034</v>
      </c>
      <c r="P22" s="425">
        <f t="shared" si="14"/>
        <v>0</v>
      </c>
      <c r="Q22" s="527">
        <v>3518172.62</v>
      </c>
      <c r="R22" s="516">
        <f t="shared" si="15"/>
        <v>13688741.379999999</v>
      </c>
      <c r="S22" s="469">
        <f t="shared" si="2"/>
        <v>0.20446273050472619</v>
      </c>
    </row>
    <row r="23" spans="1:19" s="16" customFormat="1" ht="14.4" x14ac:dyDescent="0.3">
      <c r="A23" s="432" t="s">
        <v>52</v>
      </c>
      <c r="B23" s="427" t="s">
        <v>59</v>
      </c>
      <c r="C23" s="654" t="s">
        <v>291</v>
      </c>
      <c r="D23" s="422">
        <f>SUM(D24:D28)</f>
        <v>763074824.90999997</v>
      </c>
      <c r="E23" s="422">
        <f t="shared" ref="E23:R23" si="16">SUM(E24:E28)</f>
        <v>0</v>
      </c>
      <c r="F23" s="422">
        <f t="shared" si="16"/>
        <v>0</v>
      </c>
      <c r="G23" s="422">
        <f t="shared" si="16"/>
        <v>0</v>
      </c>
      <c r="H23" s="422">
        <f t="shared" ref="H23:I23" si="17">SUM(H24:H28)</f>
        <v>0</v>
      </c>
      <c r="I23" s="422">
        <f t="shared" si="17"/>
        <v>0</v>
      </c>
      <c r="J23" s="422">
        <f t="shared" si="16"/>
        <v>0</v>
      </c>
      <c r="K23" s="422">
        <f t="shared" si="16"/>
        <v>0</v>
      </c>
      <c r="L23" s="507">
        <f t="shared" si="16"/>
        <v>763074824.90999997</v>
      </c>
      <c r="M23" s="524">
        <v>257380578.77999997</v>
      </c>
      <c r="N23" s="422">
        <v>40818656.26000002</v>
      </c>
      <c r="O23" s="422">
        <v>40110104.150000006</v>
      </c>
      <c r="P23" s="422">
        <f t="shared" si="16"/>
        <v>37230823.939999998</v>
      </c>
      <c r="Q23" s="525">
        <f t="shared" si="16"/>
        <v>375540163.13000005</v>
      </c>
      <c r="R23" s="515">
        <f t="shared" si="16"/>
        <v>387534661.78000003</v>
      </c>
      <c r="S23" s="468">
        <f t="shared" si="2"/>
        <v>0.49214067987931948</v>
      </c>
    </row>
    <row r="24" spans="1:19" s="16" customFormat="1" ht="14.4" x14ac:dyDescent="0.2">
      <c r="A24" s="492" t="s">
        <v>52</v>
      </c>
      <c r="B24" s="423" t="s">
        <v>292</v>
      </c>
      <c r="C24" s="424" t="s">
        <v>60</v>
      </c>
      <c r="D24" s="425">
        <v>198715452</v>
      </c>
      <c r="E24" s="425">
        <v>0</v>
      </c>
      <c r="F24" s="425">
        <v>0</v>
      </c>
      <c r="G24" s="425">
        <v>0</v>
      </c>
      <c r="H24" s="425">
        <v>0</v>
      </c>
      <c r="I24" s="425">
        <v>0</v>
      </c>
      <c r="J24" s="425">
        <v>0</v>
      </c>
      <c r="K24" s="425">
        <f t="shared" ref="K24:K28" si="18">SUM(E24:J24)</f>
        <v>0</v>
      </c>
      <c r="L24" s="508">
        <f t="shared" ref="L24:L28" si="19">D24+K24</f>
        <v>198715452</v>
      </c>
      <c r="M24" s="526">
        <v>50992274.060000002</v>
      </c>
      <c r="N24" s="425">
        <v>17159555.370000005</v>
      </c>
      <c r="O24" s="425">
        <v>17797844.939999998</v>
      </c>
      <c r="P24" s="425">
        <f t="shared" ref="P24:P28" si="20">Q24-M24-N24-O24</f>
        <v>15296047.599999994</v>
      </c>
      <c r="Q24" s="527">
        <v>101245721.97</v>
      </c>
      <c r="R24" s="516">
        <f t="shared" ref="R24:R28" si="21">L24-Q24</f>
        <v>97469730.030000001</v>
      </c>
      <c r="S24" s="469">
        <f t="shared" si="2"/>
        <v>0.50950100231762552</v>
      </c>
    </row>
    <row r="25" spans="1:19" s="16" customFormat="1" ht="28.8" x14ac:dyDescent="0.2">
      <c r="A25" s="492" t="s">
        <v>52</v>
      </c>
      <c r="B25" s="423" t="s">
        <v>293</v>
      </c>
      <c r="C25" s="424" t="s">
        <v>294</v>
      </c>
      <c r="D25" s="425">
        <v>177913116.99000001</v>
      </c>
      <c r="E25" s="425">
        <v>0</v>
      </c>
      <c r="F25" s="425">
        <v>0</v>
      </c>
      <c r="G25" s="425">
        <v>0</v>
      </c>
      <c r="H25" s="425">
        <v>0</v>
      </c>
      <c r="I25" s="425">
        <v>0</v>
      </c>
      <c r="J25" s="425">
        <v>0</v>
      </c>
      <c r="K25" s="425">
        <f t="shared" si="18"/>
        <v>0</v>
      </c>
      <c r="L25" s="508">
        <f t="shared" si="19"/>
        <v>177913116.99000001</v>
      </c>
      <c r="M25" s="526">
        <v>54040381.75</v>
      </c>
      <c r="N25" s="425">
        <v>18332721.25</v>
      </c>
      <c r="O25" s="425">
        <v>17371655.659999996</v>
      </c>
      <c r="P25" s="425">
        <f t="shared" si="20"/>
        <v>17058815.090000004</v>
      </c>
      <c r="Q25" s="527">
        <v>106803573.75</v>
      </c>
      <c r="R25" s="516">
        <f t="shared" si="21"/>
        <v>71109543.24000001</v>
      </c>
      <c r="S25" s="469">
        <f t="shared" si="2"/>
        <v>0.60031309414922529</v>
      </c>
    </row>
    <row r="26" spans="1:19" s="16" customFormat="1" ht="14.4" x14ac:dyDescent="0.2">
      <c r="A26" s="492" t="s">
        <v>52</v>
      </c>
      <c r="B26" s="423" t="s">
        <v>295</v>
      </c>
      <c r="C26" s="424" t="s">
        <v>296</v>
      </c>
      <c r="D26" s="425">
        <v>175338982.05000001</v>
      </c>
      <c r="E26" s="425">
        <v>0</v>
      </c>
      <c r="F26" s="425">
        <v>0</v>
      </c>
      <c r="G26" s="425">
        <v>0</v>
      </c>
      <c r="H26" s="425">
        <v>0</v>
      </c>
      <c r="I26" s="425">
        <v>0</v>
      </c>
      <c r="J26" s="425">
        <v>0</v>
      </c>
      <c r="K26" s="425">
        <f t="shared" si="18"/>
        <v>0</v>
      </c>
      <c r="L26" s="508">
        <f t="shared" si="19"/>
        <v>175338982.05000001</v>
      </c>
      <c r="M26" s="526">
        <v>92793.11</v>
      </c>
      <c r="N26" s="425">
        <v>416650.5</v>
      </c>
      <c r="O26" s="425">
        <v>343283.38</v>
      </c>
      <c r="P26" s="425">
        <f t="shared" si="20"/>
        <v>384621.61</v>
      </c>
      <c r="Q26" s="527">
        <v>1237348.6000000001</v>
      </c>
      <c r="R26" s="516">
        <f t="shared" si="21"/>
        <v>174101633.45000002</v>
      </c>
      <c r="S26" s="469">
        <f t="shared" si="2"/>
        <v>7.0568939407162478E-3</v>
      </c>
    </row>
    <row r="27" spans="1:19" s="11" customFormat="1" ht="14.4" x14ac:dyDescent="0.2">
      <c r="A27" s="492" t="s">
        <v>52</v>
      </c>
      <c r="B27" s="423" t="s">
        <v>297</v>
      </c>
      <c r="C27" s="424" t="s">
        <v>298</v>
      </c>
      <c r="D27" s="425">
        <v>161792252.87</v>
      </c>
      <c r="E27" s="425">
        <v>0</v>
      </c>
      <c r="F27" s="425">
        <v>0</v>
      </c>
      <c r="G27" s="425">
        <v>0</v>
      </c>
      <c r="H27" s="425">
        <v>0</v>
      </c>
      <c r="I27" s="425">
        <v>0</v>
      </c>
      <c r="J27" s="425">
        <v>0</v>
      </c>
      <c r="K27" s="425">
        <f t="shared" si="18"/>
        <v>0</v>
      </c>
      <c r="L27" s="508">
        <f t="shared" si="19"/>
        <v>161792252.87</v>
      </c>
      <c r="M27" s="526">
        <v>138190677.16999999</v>
      </c>
      <c r="N27" s="425">
        <v>137982.36000001431</v>
      </c>
      <c r="O27" s="425">
        <v>213688.15000000596</v>
      </c>
      <c r="P27" s="425">
        <f t="shared" si="20"/>
        <v>236056.34000000358</v>
      </c>
      <c r="Q27" s="527">
        <v>138778404.02000001</v>
      </c>
      <c r="R27" s="516">
        <f t="shared" si="21"/>
        <v>23013848.849999994</v>
      </c>
      <c r="S27" s="469">
        <f t="shared" si="2"/>
        <v>0.85775679340783018</v>
      </c>
    </row>
    <row r="28" spans="1:19" s="16" customFormat="1" ht="14.4" x14ac:dyDescent="0.2">
      <c r="A28" s="492" t="s">
        <v>52</v>
      </c>
      <c r="B28" s="423" t="s">
        <v>299</v>
      </c>
      <c r="C28" s="424" t="s">
        <v>300</v>
      </c>
      <c r="D28" s="425">
        <v>49315021</v>
      </c>
      <c r="E28" s="425">
        <v>0</v>
      </c>
      <c r="F28" s="425">
        <v>0</v>
      </c>
      <c r="G28" s="425">
        <v>0</v>
      </c>
      <c r="H28" s="425">
        <v>0</v>
      </c>
      <c r="I28" s="425">
        <v>0</v>
      </c>
      <c r="J28" s="425">
        <v>0</v>
      </c>
      <c r="K28" s="425">
        <f t="shared" si="18"/>
        <v>0</v>
      </c>
      <c r="L28" s="508">
        <f t="shared" si="19"/>
        <v>49315021</v>
      </c>
      <c r="M28" s="526">
        <v>14064452.689999999</v>
      </c>
      <c r="N28" s="425">
        <v>4771746.7799999993</v>
      </c>
      <c r="O28" s="425">
        <v>4383632.0199999996</v>
      </c>
      <c r="P28" s="425">
        <f t="shared" si="20"/>
        <v>4255283.3000000007</v>
      </c>
      <c r="Q28" s="527">
        <v>27475114.789999999</v>
      </c>
      <c r="R28" s="516">
        <f t="shared" si="21"/>
        <v>21839906.210000001</v>
      </c>
      <c r="S28" s="469">
        <f t="shared" si="2"/>
        <v>0.55713480868232823</v>
      </c>
    </row>
    <row r="29" spans="1:19" s="16" customFormat="1" ht="28.8" x14ac:dyDescent="0.3">
      <c r="A29" s="432" t="s">
        <v>61</v>
      </c>
      <c r="B29" s="427" t="s">
        <v>62</v>
      </c>
      <c r="C29" s="654" t="s">
        <v>494</v>
      </c>
      <c r="D29" s="422">
        <f>SUM(D30:D34)</f>
        <v>352432763.63</v>
      </c>
      <c r="E29" s="422">
        <f t="shared" ref="E29:R29" si="22">SUM(E30:E34)</f>
        <v>0</v>
      </c>
      <c r="F29" s="422">
        <f t="shared" si="22"/>
        <v>0</v>
      </c>
      <c r="G29" s="422">
        <f t="shared" si="22"/>
        <v>0</v>
      </c>
      <c r="H29" s="422">
        <f t="shared" ref="H29:I29" si="23">SUM(H30:H34)</f>
        <v>0</v>
      </c>
      <c r="I29" s="422">
        <f t="shared" si="23"/>
        <v>0</v>
      </c>
      <c r="J29" s="422">
        <f t="shared" si="22"/>
        <v>0</v>
      </c>
      <c r="K29" s="422">
        <f t="shared" si="22"/>
        <v>0</v>
      </c>
      <c r="L29" s="507">
        <f t="shared" si="22"/>
        <v>352432763.63</v>
      </c>
      <c r="M29" s="524">
        <v>93953717.459999993</v>
      </c>
      <c r="N29" s="422">
        <v>23708661.600000001</v>
      </c>
      <c r="O29" s="422">
        <v>23468594.439999998</v>
      </c>
      <c r="P29" s="422">
        <f t="shared" si="22"/>
        <v>23308337.25</v>
      </c>
      <c r="Q29" s="525">
        <f t="shared" si="22"/>
        <v>164439310.75000003</v>
      </c>
      <c r="R29" s="515">
        <f t="shared" si="22"/>
        <v>187993452.88</v>
      </c>
      <c r="S29" s="468">
        <f t="shared" si="2"/>
        <v>0.46658349540576743</v>
      </c>
    </row>
    <row r="30" spans="1:19" s="16" customFormat="1" ht="28.8" x14ac:dyDescent="0.2">
      <c r="A30" s="472" t="s">
        <v>61</v>
      </c>
      <c r="B30" s="423" t="s">
        <v>301</v>
      </c>
      <c r="C30" s="424" t="s">
        <v>493</v>
      </c>
      <c r="D30" s="425">
        <v>194627048.58000001</v>
      </c>
      <c r="E30" s="425">
        <v>0</v>
      </c>
      <c r="F30" s="425">
        <v>0</v>
      </c>
      <c r="G30" s="425">
        <v>0</v>
      </c>
      <c r="H30" s="425">
        <v>0</v>
      </c>
      <c r="I30" s="425">
        <v>0</v>
      </c>
      <c r="J30" s="425">
        <v>0</v>
      </c>
      <c r="K30" s="425">
        <f t="shared" ref="K30:K34" si="24">SUM(E30:J30)</f>
        <v>0</v>
      </c>
      <c r="L30" s="508">
        <f t="shared" ref="L30:L34" si="25">D30+K30</f>
        <v>194627048.58000001</v>
      </c>
      <c r="M30" s="526">
        <v>51894662.93</v>
      </c>
      <c r="N30" s="425">
        <v>13092842.530000001</v>
      </c>
      <c r="O30" s="425">
        <v>12960268.199999996</v>
      </c>
      <c r="P30" s="425">
        <f t="shared" ref="P30:P34" si="26">Q30-M30-N30-O30</f>
        <v>12871767.920000002</v>
      </c>
      <c r="Q30" s="527">
        <v>90819541.579999998</v>
      </c>
      <c r="R30" s="516">
        <f t="shared" ref="R30:R34" si="27">L30-Q30</f>
        <v>103807507.00000001</v>
      </c>
      <c r="S30" s="469">
        <f t="shared" si="2"/>
        <v>0.46663370915101399</v>
      </c>
    </row>
    <row r="31" spans="1:19" s="16" customFormat="1" ht="28.8" x14ac:dyDescent="0.2">
      <c r="A31" s="492" t="s">
        <v>61</v>
      </c>
      <c r="B31" s="423" t="s">
        <v>302</v>
      </c>
      <c r="C31" s="424" t="s">
        <v>492</v>
      </c>
      <c r="D31" s="425">
        <v>10520381</v>
      </c>
      <c r="E31" s="425">
        <v>0</v>
      </c>
      <c r="F31" s="425">
        <v>0</v>
      </c>
      <c r="G31" s="425">
        <v>0</v>
      </c>
      <c r="H31" s="425">
        <v>0</v>
      </c>
      <c r="I31" s="425">
        <v>0</v>
      </c>
      <c r="J31" s="425">
        <v>0</v>
      </c>
      <c r="K31" s="425">
        <f t="shared" si="24"/>
        <v>0</v>
      </c>
      <c r="L31" s="508">
        <f t="shared" si="25"/>
        <v>10520381</v>
      </c>
      <c r="M31" s="526">
        <v>2803937.14</v>
      </c>
      <c r="N31" s="425">
        <v>707721.40999999968</v>
      </c>
      <c r="O31" s="425">
        <v>700555.15000000037</v>
      </c>
      <c r="P31" s="425">
        <f t="shared" si="26"/>
        <v>695771.37000000011</v>
      </c>
      <c r="Q31" s="527">
        <v>4907985.07</v>
      </c>
      <c r="R31" s="516">
        <f t="shared" si="27"/>
        <v>5612395.9299999997</v>
      </c>
      <c r="S31" s="469">
        <f t="shared" si="2"/>
        <v>0.46652160886568655</v>
      </c>
    </row>
    <row r="32" spans="1:19" s="16" customFormat="1" ht="28.8" x14ac:dyDescent="0.2">
      <c r="A32" s="492" t="s">
        <v>61</v>
      </c>
      <c r="B32" s="423" t="s">
        <v>303</v>
      </c>
      <c r="C32" s="424" t="s">
        <v>491</v>
      </c>
      <c r="D32" s="425">
        <v>31561143.010000002</v>
      </c>
      <c r="E32" s="425">
        <v>0</v>
      </c>
      <c r="F32" s="425">
        <v>0</v>
      </c>
      <c r="G32" s="425">
        <v>0</v>
      </c>
      <c r="H32" s="425">
        <v>0</v>
      </c>
      <c r="I32" s="425">
        <v>0</v>
      </c>
      <c r="J32" s="425">
        <v>0</v>
      </c>
      <c r="K32" s="425">
        <f t="shared" si="24"/>
        <v>0</v>
      </c>
      <c r="L32" s="508">
        <f t="shared" si="25"/>
        <v>31561143.010000002</v>
      </c>
      <c r="M32" s="526">
        <v>8411810.8699999992</v>
      </c>
      <c r="N32" s="425">
        <v>2123163.7800000012</v>
      </c>
      <c r="O32" s="425">
        <v>2101665.209999999</v>
      </c>
      <c r="P32" s="425">
        <f t="shared" si="26"/>
        <v>2087313.8600000013</v>
      </c>
      <c r="Q32" s="527">
        <v>14723953.720000001</v>
      </c>
      <c r="R32" s="516">
        <f t="shared" si="27"/>
        <v>16837189.289999999</v>
      </c>
      <c r="S32" s="469">
        <f t="shared" si="2"/>
        <v>0.46652156150792079</v>
      </c>
    </row>
    <row r="33" spans="1:19" s="11" customFormat="1" ht="28.8" x14ac:dyDescent="0.2">
      <c r="A33" s="492" t="s">
        <v>61</v>
      </c>
      <c r="B33" s="423" t="s">
        <v>304</v>
      </c>
      <c r="C33" s="424" t="s">
        <v>490</v>
      </c>
      <c r="D33" s="425">
        <v>105203810.04000001</v>
      </c>
      <c r="E33" s="425">
        <v>0</v>
      </c>
      <c r="F33" s="425">
        <v>0</v>
      </c>
      <c r="G33" s="425">
        <v>0</v>
      </c>
      <c r="H33" s="425">
        <v>0</v>
      </c>
      <c r="I33" s="425">
        <v>0</v>
      </c>
      <c r="J33" s="425">
        <v>0</v>
      </c>
      <c r="K33" s="425">
        <f t="shared" si="24"/>
        <v>0</v>
      </c>
      <c r="L33" s="508">
        <f t="shared" si="25"/>
        <v>105203810.04000001</v>
      </c>
      <c r="M33" s="526">
        <v>28039369.579999998</v>
      </c>
      <c r="N33" s="425">
        <v>7077212.5700000003</v>
      </c>
      <c r="O33" s="425">
        <v>7005550.7300000042</v>
      </c>
      <c r="P33" s="425">
        <f t="shared" si="26"/>
        <v>6957712.7299999967</v>
      </c>
      <c r="Q33" s="527">
        <v>49079845.609999999</v>
      </c>
      <c r="R33" s="516">
        <f t="shared" si="27"/>
        <v>56123964.430000007</v>
      </c>
      <c r="S33" s="469">
        <f t="shared" si="2"/>
        <v>0.46652156030603009</v>
      </c>
    </row>
    <row r="34" spans="1:19" s="16" customFormat="1" ht="28.8" x14ac:dyDescent="0.2">
      <c r="A34" s="492" t="s">
        <v>61</v>
      </c>
      <c r="B34" s="423" t="s">
        <v>305</v>
      </c>
      <c r="C34" s="424" t="s">
        <v>488</v>
      </c>
      <c r="D34" s="425">
        <v>10520381</v>
      </c>
      <c r="E34" s="425">
        <v>0</v>
      </c>
      <c r="F34" s="425">
        <v>0</v>
      </c>
      <c r="G34" s="425">
        <v>0</v>
      </c>
      <c r="H34" s="425">
        <v>0</v>
      </c>
      <c r="I34" s="425">
        <v>0</v>
      </c>
      <c r="J34" s="425">
        <v>0</v>
      </c>
      <c r="K34" s="425">
        <f t="shared" si="24"/>
        <v>0</v>
      </c>
      <c r="L34" s="508">
        <f t="shared" si="25"/>
        <v>10520381</v>
      </c>
      <c r="M34" s="526">
        <v>2803936.94</v>
      </c>
      <c r="N34" s="425">
        <v>707721.31</v>
      </c>
      <c r="O34" s="425">
        <v>700555.15000000037</v>
      </c>
      <c r="P34" s="425">
        <f t="shared" si="26"/>
        <v>695771.36999999918</v>
      </c>
      <c r="Q34" s="527">
        <v>4907984.7699999996</v>
      </c>
      <c r="R34" s="516">
        <f t="shared" si="27"/>
        <v>5612396.2300000004</v>
      </c>
      <c r="S34" s="469">
        <f t="shared" si="2"/>
        <v>0.46652158034960894</v>
      </c>
    </row>
    <row r="35" spans="1:19" s="16" customFormat="1" ht="28.8" x14ac:dyDescent="0.3">
      <c r="A35" s="493" t="s">
        <v>61</v>
      </c>
      <c r="B35" s="427" t="s">
        <v>63</v>
      </c>
      <c r="C35" s="654" t="s">
        <v>487</v>
      </c>
      <c r="D35" s="422">
        <f>SUM(D36:D39)</f>
        <v>303080142.17000002</v>
      </c>
      <c r="E35" s="422">
        <f t="shared" ref="E35:R35" si="28">SUM(E36:E39)</f>
        <v>0</v>
      </c>
      <c r="F35" s="422">
        <f t="shared" si="28"/>
        <v>0</v>
      </c>
      <c r="G35" s="422">
        <f t="shared" si="28"/>
        <v>0</v>
      </c>
      <c r="H35" s="422">
        <f t="shared" ref="H35:I35" si="29">SUM(H36:H39)</f>
        <v>0</v>
      </c>
      <c r="I35" s="422">
        <f t="shared" si="29"/>
        <v>0</v>
      </c>
      <c r="J35" s="422">
        <f t="shared" si="28"/>
        <v>0</v>
      </c>
      <c r="K35" s="422">
        <f t="shared" si="28"/>
        <v>0</v>
      </c>
      <c r="L35" s="507">
        <f t="shared" si="28"/>
        <v>303080142.17000002</v>
      </c>
      <c r="M35" s="524">
        <v>79976748.449999988</v>
      </c>
      <c r="N35" s="422">
        <v>20250944.170000002</v>
      </c>
      <c r="O35" s="422">
        <v>19769779.75</v>
      </c>
      <c r="P35" s="422">
        <f t="shared" si="28"/>
        <v>19542458.140000001</v>
      </c>
      <c r="Q35" s="525">
        <f t="shared" si="28"/>
        <v>139539930.50999999</v>
      </c>
      <c r="R35" s="515">
        <f t="shared" si="28"/>
        <v>163540211.66000003</v>
      </c>
      <c r="S35" s="468">
        <f t="shared" si="2"/>
        <v>0.46040604808655183</v>
      </c>
    </row>
    <row r="36" spans="1:19" s="16" customFormat="1" ht="28.8" x14ac:dyDescent="0.2">
      <c r="A36" s="472" t="s">
        <v>61</v>
      </c>
      <c r="B36" s="423" t="s">
        <v>306</v>
      </c>
      <c r="C36" s="424" t="s">
        <v>464</v>
      </c>
      <c r="D36" s="425">
        <v>117407452.01000001</v>
      </c>
      <c r="E36" s="425">
        <v>0</v>
      </c>
      <c r="F36" s="425">
        <v>0</v>
      </c>
      <c r="G36" s="425">
        <v>0</v>
      </c>
      <c r="H36" s="425">
        <v>0</v>
      </c>
      <c r="I36" s="425">
        <v>0</v>
      </c>
      <c r="J36" s="425">
        <v>0</v>
      </c>
      <c r="K36" s="425">
        <f t="shared" ref="K36:K39" si="30">SUM(E36:J36)</f>
        <v>0</v>
      </c>
      <c r="L36" s="508">
        <f t="shared" ref="L36:L39" si="31">D36+K36</f>
        <v>117407452.01000001</v>
      </c>
      <c r="M36" s="526">
        <v>31291935.079999998</v>
      </c>
      <c r="N36" s="425">
        <v>7898168.8200000003</v>
      </c>
      <c r="O36" s="425">
        <v>7818194.2700000033</v>
      </c>
      <c r="P36" s="425">
        <f t="shared" ref="P36:P39" si="32">Q36-M36-N36-O36</f>
        <v>7764806.9799999967</v>
      </c>
      <c r="Q36" s="527">
        <v>54773105.149999999</v>
      </c>
      <c r="R36" s="516">
        <f t="shared" ref="R36:R39" si="33">L36-Q36</f>
        <v>62634346.860000007</v>
      </c>
      <c r="S36" s="469">
        <f t="shared" si="2"/>
        <v>0.46652153855902417</v>
      </c>
    </row>
    <row r="37" spans="1:19" s="16" customFormat="1" ht="28.8" x14ac:dyDescent="0.2">
      <c r="A37" s="492" t="s">
        <v>61</v>
      </c>
      <c r="B37" s="423" t="s">
        <v>307</v>
      </c>
      <c r="C37" s="424" t="s">
        <v>465</v>
      </c>
      <c r="D37" s="425">
        <v>63122286.030000001</v>
      </c>
      <c r="E37" s="425">
        <v>0</v>
      </c>
      <c r="F37" s="425">
        <v>0</v>
      </c>
      <c r="G37" s="425">
        <v>0</v>
      </c>
      <c r="H37" s="425">
        <v>0</v>
      </c>
      <c r="I37" s="425">
        <v>0</v>
      </c>
      <c r="J37" s="425">
        <v>0</v>
      </c>
      <c r="K37" s="425">
        <f t="shared" si="30"/>
        <v>0</v>
      </c>
      <c r="L37" s="508">
        <f t="shared" si="31"/>
        <v>63122286.030000001</v>
      </c>
      <c r="M37" s="526">
        <v>16823622.52</v>
      </c>
      <c r="N37" s="425">
        <v>4246327.82</v>
      </c>
      <c r="O37" s="425">
        <v>4203330.7100000009</v>
      </c>
      <c r="P37" s="425">
        <f t="shared" si="32"/>
        <v>4174627.9499999993</v>
      </c>
      <c r="Q37" s="527">
        <v>29447909</v>
      </c>
      <c r="R37" s="516">
        <f t="shared" si="33"/>
        <v>33674377.030000001</v>
      </c>
      <c r="S37" s="469">
        <f t="shared" si="2"/>
        <v>0.46652158614794703</v>
      </c>
    </row>
    <row r="38" spans="1:19" s="16" customFormat="1" ht="28.8" x14ac:dyDescent="0.2">
      <c r="A38" s="492" t="s">
        <v>61</v>
      </c>
      <c r="B38" s="423" t="s">
        <v>308</v>
      </c>
      <c r="C38" s="424" t="s">
        <v>309</v>
      </c>
      <c r="D38" s="425">
        <v>31561143.010000002</v>
      </c>
      <c r="E38" s="425">
        <v>0</v>
      </c>
      <c r="F38" s="425">
        <v>0</v>
      </c>
      <c r="G38" s="425">
        <v>0</v>
      </c>
      <c r="H38" s="425">
        <v>0</v>
      </c>
      <c r="I38" s="425">
        <v>0</v>
      </c>
      <c r="J38" s="425">
        <v>0</v>
      </c>
      <c r="K38" s="425">
        <f t="shared" si="30"/>
        <v>0</v>
      </c>
      <c r="L38" s="508">
        <f t="shared" si="31"/>
        <v>31561143.010000002</v>
      </c>
      <c r="M38" s="526">
        <v>8411810.8699999992</v>
      </c>
      <c r="N38" s="425">
        <v>2123163.7800000012</v>
      </c>
      <c r="O38" s="425">
        <v>2101665.209999999</v>
      </c>
      <c r="P38" s="425">
        <f t="shared" si="32"/>
        <v>2087313.8600000013</v>
      </c>
      <c r="Q38" s="527">
        <v>14723953.720000001</v>
      </c>
      <c r="R38" s="516">
        <f t="shared" si="33"/>
        <v>16837189.289999999</v>
      </c>
      <c r="S38" s="469">
        <f t="shared" si="2"/>
        <v>0.46652156150792079</v>
      </c>
    </row>
    <row r="39" spans="1:19" s="11" customFormat="1" ht="28.8" x14ac:dyDescent="0.2">
      <c r="A39" s="494" t="s">
        <v>61</v>
      </c>
      <c r="B39" s="423" t="s">
        <v>310</v>
      </c>
      <c r="C39" s="424" t="s">
        <v>489</v>
      </c>
      <c r="D39" s="425">
        <v>90989261.120000005</v>
      </c>
      <c r="E39" s="425">
        <v>0</v>
      </c>
      <c r="F39" s="425">
        <v>0</v>
      </c>
      <c r="G39" s="425">
        <v>0</v>
      </c>
      <c r="H39" s="425">
        <v>0</v>
      </c>
      <c r="I39" s="425">
        <v>0</v>
      </c>
      <c r="J39" s="425">
        <v>0</v>
      </c>
      <c r="K39" s="425">
        <f t="shared" si="30"/>
        <v>0</v>
      </c>
      <c r="L39" s="508">
        <f t="shared" si="31"/>
        <v>90989261.120000005</v>
      </c>
      <c r="M39" s="526">
        <v>23449379.98</v>
      </c>
      <c r="N39" s="425">
        <v>5983283.75</v>
      </c>
      <c r="O39" s="425">
        <v>5646589.5599999987</v>
      </c>
      <c r="P39" s="425">
        <f t="shared" si="32"/>
        <v>5515709.3500000015</v>
      </c>
      <c r="Q39" s="527">
        <v>40594962.640000001</v>
      </c>
      <c r="R39" s="516">
        <f t="shared" si="33"/>
        <v>50394298.480000004</v>
      </c>
      <c r="S39" s="469">
        <f t="shared" si="2"/>
        <v>0.44615114069848155</v>
      </c>
    </row>
    <row r="40" spans="1:19" s="11" customFormat="1" ht="14.4" x14ac:dyDescent="0.3">
      <c r="A40" s="492"/>
      <c r="B40" s="789"/>
      <c r="C40" s="790"/>
      <c r="D40" s="495"/>
      <c r="E40" s="495"/>
      <c r="F40" s="495"/>
      <c r="G40" s="495"/>
      <c r="H40" s="495"/>
      <c r="I40" s="495"/>
      <c r="J40" s="495"/>
      <c r="K40" s="495"/>
      <c r="L40" s="543"/>
      <c r="M40" s="649"/>
      <c r="N40" s="495"/>
      <c r="O40" s="495"/>
      <c r="P40" s="495"/>
      <c r="Q40" s="650"/>
      <c r="R40" s="544"/>
      <c r="S40" s="469"/>
    </row>
    <row r="41" spans="1:19" s="11" customFormat="1" ht="14.4" x14ac:dyDescent="0.2">
      <c r="A41" s="471" t="s">
        <v>64</v>
      </c>
      <c r="B41" s="439" t="s">
        <v>65</v>
      </c>
      <c r="C41" s="655" t="s">
        <v>66</v>
      </c>
      <c r="D41" s="441">
        <f>SUM(D42+D47+D52+D58+D66+D71+D73+D77+D83+D85)</f>
        <v>4488763955.8999996</v>
      </c>
      <c r="E41" s="441">
        <f t="shared" ref="E41:R41" si="34">SUM(E42+E47+E52+E58+E66+E71+E73+E77+E83+E85)</f>
        <v>3164452</v>
      </c>
      <c r="F41" s="441">
        <f t="shared" si="34"/>
        <v>37289340</v>
      </c>
      <c r="G41" s="441">
        <f t="shared" si="34"/>
        <v>0</v>
      </c>
      <c r="H41" s="441">
        <f t="shared" ref="H41:I41" si="35">SUM(H42+H47+H52+H58+H66+H71+H73+H77+H83+H85)</f>
        <v>0</v>
      </c>
      <c r="I41" s="441">
        <f t="shared" si="35"/>
        <v>0</v>
      </c>
      <c r="J41" s="441">
        <f t="shared" si="34"/>
        <v>0</v>
      </c>
      <c r="K41" s="441">
        <f t="shared" si="34"/>
        <v>40453792</v>
      </c>
      <c r="L41" s="510">
        <f t="shared" si="34"/>
        <v>4529217747.8999996</v>
      </c>
      <c r="M41" s="530">
        <v>652871717.35000002</v>
      </c>
      <c r="N41" s="441">
        <v>250778599.27000004</v>
      </c>
      <c r="O41" s="441">
        <v>259250366.13</v>
      </c>
      <c r="P41" s="441">
        <f t="shared" si="34"/>
        <v>319098203.60000002</v>
      </c>
      <c r="Q41" s="531">
        <f t="shared" si="34"/>
        <v>1481998886.3499999</v>
      </c>
      <c r="R41" s="518">
        <f t="shared" si="34"/>
        <v>3047218861.5499997</v>
      </c>
      <c r="S41" s="467">
        <f t="shared" ref="S41:S90" si="36">Q41/L41</f>
        <v>0.32720857526382741</v>
      </c>
    </row>
    <row r="42" spans="1:19" s="16" customFormat="1" ht="14.4" x14ac:dyDescent="0.2">
      <c r="A42" s="432" t="s">
        <v>64</v>
      </c>
      <c r="B42" s="420" t="s">
        <v>311</v>
      </c>
      <c r="C42" s="654" t="s">
        <v>312</v>
      </c>
      <c r="D42" s="422">
        <f>SUM(D43:D46)</f>
        <v>1108992990</v>
      </c>
      <c r="E42" s="422">
        <f t="shared" ref="E42:R42" si="37">SUM(E43:E46)</f>
        <v>0</v>
      </c>
      <c r="F42" s="422">
        <f t="shared" si="37"/>
        <v>0</v>
      </c>
      <c r="G42" s="422">
        <f t="shared" si="37"/>
        <v>0</v>
      </c>
      <c r="H42" s="422">
        <f t="shared" ref="H42:I42" si="38">SUM(H43:H46)</f>
        <v>0</v>
      </c>
      <c r="I42" s="422">
        <f t="shared" si="38"/>
        <v>0</v>
      </c>
      <c r="J42" s="422">
        <f t="shared" si="37"/>
        <v>0</v>
      </c>
      <c r="K42" s="422">
        <f t="shared" si="37"/>
        <v>0</v>
      </c>
      <c r="L42" s="507">
        <f t="shared" si="37"/>
        <v>1108992990</v>
      </c>
      <c r="M42" s="524">
        <v>237888271.36999997</v>
      </c>
      <c r="N42" s="422">
        <v>96557488.99000001</v>
      </c>
      <c r="O42" s="422">
        <v>62599932.819999985</v>
      </c>
      <c r="P42" s="422">
        <f t="shared" si="37"/>
        <v>83438869.030000016</v>
      </c>
      <c r="Q42" s="525">
        <f t="shared" si="37"/>
        <v>480484562.21000004</v>
      </c>
      <c r="R42" s="515">
        <f t="shared" si="37"/>
        <v>628508427.78999996</v>
      </c>
      <c r="S42" s="468">
        <f t="shared" si="36"/>
        <v>0.43326203731008256</v>
      </c>
    </row>
    <row r="43" spans="1:19" s="16" customFormat="1" ht="28.8" x14ac:dyDescent="0.2">
      <c r="A43" s="472" t="s">
        <v>64</v>
      </c>
      <c r="B43" s="423" t="s">
        <v>313</v>
      </c>
      <c r="C43" s="424" t="s">
        <v>67</v>
      </c>
      <c r="D43" s="425">
        <v>858292990</v>
      </c>
      <c r="E43" s="425">
        <v>0</v>
      </c>
      <c r="F43" s="425">
        <v>0</v>
      </c>
      <c r="G43" s="425">
        <v>0</v>
      </c>
      <c r="H43" s="425">
        <v>0</v>
      </c>
      <c r="I43" s="425">
        <v>0</v>
      </c>
      <c r="J43" s="425">
        <v>0</v>
      </c>
      <c r="K43" s="425">
        <f t="shared" ref="K43:K46" si="39">SUM(E43:J43)</f>
        <v>0</v>
      </c>
      <c r="L43" s="508">
        <f t="shared" ref="L43:L46" si="40">D43+K43</f>
        <v>858292990</v>
      </c>
      <c r="M43" s="526">
        <v>190235745.53999999</v>
      </c>
      <c r="N43" s="425">
        <v>76291046.879999995</v>
      </c>
      <c r="O43" s="425">
        <v>50532783.479999989</v>
      </c>
      <c r="P43" s="425">
        <f t="shared" ref="P43:P46" si="41">Q43-M43-N43-O43</f>
        <v>63411915.180000007</v>
      </c>
      <c r="Q43" s="527">
        <v>380471491.07999998</v>
      </c>
      <c r="R43" s="516">
        <f t="shared" ref="R43:R46" si="42">L43-Q43</f>
        <v>477821498.92000002</v>
      </c>
      <c r="S43" s="469">
        <f t="shared" si="36"/>
        <v>0.44328859202263782</v>
      </c>
    </row>
    <row r="44" spans="1:19" s="16" customFormat="1" ht="28.8" x14ac:dyDescent="0.2">
      <c r="A44" s="472" t="s">
        <v>64</v>
      </c>
      <c r="B44" s="423" t="s">
        <v>314</v>
      </c>
      <c r="C44" s="424" t="s">
        <v>315</v>
      </c>
      <c r="D44" s="425">
        <v>80000000</v>
      </c>
      <c r="E44" s="425">
        <v>0</v>
      </c>
      <c r="F44" s="425">
        <v>0</v>
      </c>
      <c r="G44" s="425">
        <v>0</v>
      </c>
      <c r="H44" s="425">
        <v>0</v>
      </c>
      <c r="I44" s="425">
        <v>0</v>
      </c>
      <c r="J44" s="425">
        <v>0</v>
      </c>
      <c r="K44" s="425">
        <f t="shared" si="39"/>
        <v>0</v>
      </c>
      <c r="L44" s="508">
        <f t="shared" si="40"/>
        <v>80000000</v>
      </c>
      <c r="M44" s="526">
        <v>8556394.0099999998</v>
      </c>
      <c r="N44" s="425">
        <v>7954566.2599999998</v>
      </c>
      <c r="O44" s="425">
        <v>0</v>
      </c>
      <c r="P44" s="425">
        <f t="shared" si="41"/>
        <v>8023254.2100000009</v>
      </c>
      <c r="Q44" s="527">
        <v>24534214.48</v>
      </c>
      <c r="R44" s="516">
        <f t="shared" si="42"/>
        <v>55465785.519999996</v>
      </c>
      <c r="S44" s="469">
        <f t="shared" si="36"/>
        <v>0.30667768099999998</v>
      </c>
    </row>
    <row r="45" spans="1:19" s="16" customFormat="1" ht="28.8" x14ac:dyDescent="0.2">
      <c r="A45" s="472" t="s">
        <v>64</v>
      </c>
      <c r="B45" s="423" t="s">
        <v>316</v>
      </c>
      <c r="C45" s="424" t="s">
        <v>317</v>
      </c>
      <c r="D45" s="425">
        <v>170000000</v>
      </c>
      <c r="E45" s="425">
        <v>0</v>
      </c>
      <c r="F45" s="425">
        <v>0</v>
      </c>
      <c r="G45" s="425">
        <v>0</v>
      </c>
      <c r="H45" s="425">
        <v>0</v>
      </c>
      <c r="I45" s="425">
        <v>0</v>
      </c>
      <c r="J45" s="425">
        <v>0</v>
      </c>
      <c r="K45" s="425">
        <f t="shared" si="39"/>
        <v>0</v>
      </c>
      <c r="L45" s="508">
        <f t="shared" si="40"/>
        <v>170000000</v>
      </c>
      <c r="M45" s="526">
        <v>38726171.25</v>
      </c>
      <c r="N45" s="425">
        <v>12300817.670000002</v>
      </c>
      <c r="O45" s="425">
        <v>12056233.539999999</v>
      </c>
      <c r="P45" s="425">
        <f t="shared" si="41"/>
        <v>11992783.839999996</v>
      </c>
      <c r="Q45" s="527">
        <v>75076006.299999997</v>
      </c>
      <c r="R45" s="516">
        <f t="shared" si="42"/>
        <v>94923993.700000003</v>
      </c>
      <c r="S45" s="469">
        <f t="shared" si="36"/>
        <v>0.4416235664705882</v>
      </c>
    </row>
    <row r="46" spans="1:19" s="16" customFormat="1" ht="14.4" x14ac:dyDescent="0.2">
      <c r="A46" s="472" t="s">
        <v>64</v>
      </c>
      <c r="B46" s="423" t="s">
        <v>318</v>
      </c>
      <c r="C46" s="424" t="s">
        <v>68</v>
      </c>
      <c r="D46" s="425">
        <v>700000</v>
      </c>
      <c r="E46" s="425">
        <v>0</v>
      </c>
      <c r="F46" s="425">
        <v>0</v>
      </c>
      <c r="G46" s="425">
        <v>0</v>
      </c>
      <c r="H46" s="425">
        <v>0</v>
      </c>
      <c r="I46" s="425">
        <v>0</v>
      </c>
      <c r="J46" s="425">
        <v>0</v>
      </c>
      <c r="K46" s="425">
        <f t="shared" si="39"/>
        <v>0</v>
      </c>
      <c r="L46" s="508">
        <f t="shared" si="40"/>
        <v>700000</v>
      </c>
      <c r="M46" s="526">
        <v>369960.57</v>
      </c>
      <c r="N46" s="425">
        <v>11058.179999999993</v>
      </c>
      <c r="O46" s="425">
        <v>10915.799999999988</v>
      </c>
      <c r="P46" s="425">
        <f t="shared" si="41"/>
        <v>10915.799999999988</v>
      </c>
      <c r="Q46" s="527">
        <v>402850.35</v>
      </c>
      <c r="R46" s="516">
        <f t="shared" si="42"/>
        <v>297149.65000000002</v>
      </c>
      <c r="S46" s="469">
        <f t="shared" si="36"/>
        <v>0.57550049999999997</v>
      </c>
    </row>
    <row r="47" spans="1:19" s="16" customFormat="1" ht="14.4" x14ac:dyDescent="0.2">
      <c r="A47" s="432" t="s">
        <v>64</v>
      </c>
      <c r="B47" s="420" t="s">
        <v>319</v>
      </c>
      <c r="C47" s="654" t="s">
        <v>320</v>
      </c>
      <c r="D47" s="422">
        <f>SUM(D48:D51)</f>
        <v>214700000</v>
      </c>
      <c r="E47" s="422">
        <f t="shared" ref="E47:R47" si="43">SUM(E48:E51)</f>
        <v>0</v>
      </c>
      <c r="F47" s="422">
        <f t="shared" si="43"/>
        <v>0</v>
      </c>
      <c r="G47" s="422">
        <f t="shared" si="43"/>
        <v>0</v>
      </c>
      <c r="H47" s="422">
        <f t="shared" ref="H47:I47" si="44">SUM(H48:H51)</f>
        <v>0</v>
      </c>
      <c r="I47" s="422">
        <f t="shared" si="44"/>
        <v>0</v>
      </c>
      <c r="J47" s="422">
        <f t="shared" si="43"/>
        <v>0</v>
      </c>
      <c r="K47" s="422">
        <f t="shared" si="43"/>
        <v>0</v>
      </c>
      <c r="L47" s="507">
        <f t="shared" si="43"/>
        <v>214700000</v>
      </c>
      <c r="M47" s="524">
        <v>46073652.539999999</v>
      </c>
      <c r="N47" s="422">
        <v>14056521.93</v>
      </c>
      <c r="O47" s="422">
        <v>14599291.440000001</v>
      </c>
      <c r="P47" s="422">
        <f t="shared" si="43"/>
        <v>10722863.869999994</v>
      </c>
      <c r="Q47" s="525">
        <f t="shared" si="43"/>
        <v>85452329.780000001</v>
      </c>
      <c r="R47" s="515">
        <f t="shared" si="43"/>
        <v>129247670.22</v>
      </c>
      <c r="S47" s="468">
        <f t="shared" si="36"/>
        <v>0.39800805673032136</v>
      </c>
    </row>
    <row r="48" spans="1:19" s="11" customFormat="1" ht="28.8" x14ac:dyDescent="0.2">
      <c r="A48" s="472" t="s">
        <v>64</v>
      </c>
      <c r="B48" s="423" t="s">
        <v>321</v>
      </c>
      <c r="C48" s="424" t="s">
        <v>69</v>
      </c>
      <c r="D48" s="425">
        <v>21000000</v>
      </c>
      <c r="E48" s="425">
        <v>0</v>
      </c>
      <c r="F48" s="425">
        <v>0</v>
      </c>
      <c r="G48" s="425">
        <v>0</v>
      </c>
      <c r="H48" s="425">
        <v>0</v>
      </c>
      <c r="I48" s="425">
        <v>0</v>
      </c>
      <c r="J48" s="425">
        <v>0</v>
      </c>
      <c r="K48" s="425">
        <f t="shared" ref="K48:K51" si="45">SUM(E48:J48)</f>
        <v>0</v>
      </c>
      <c r="L48" s="508">
        <f t="shared" ref="L48:L51" si="46">D48+K48</f>
        <v>21000000</v>
      </c>
      <c r="M48" s="526">
        <v>4159319.49</v>
      </c>
      <c r="N48" s="425">
        <v>1283243.3999999994</v>
      </c>
      <c r="O48" s="425">
        <v>1546194.6400000006</v>
      </c>
      <c r="P48" s="425">
        <f t="shared" ref="P48:P51" si="47">Q48-M48-N48-O48</f>
        <v>2041277.919999999</v>
      </c>
      <c r="Q48" s="527">
        <v>9030035.4499999993</v>
      </c>
      <c r="R48" s="516">
        <f t="shared" ref="R48:R51" si="48">L48-Q48</f>
        <v>11969964.550000001</v>
      </c>
      <c r="S48" s="469">
        <f t="shared" si="36"/>
        <v>0.43000168809523803</v>
      </c>
    </row>
    <row r="49" spans="1:21" s="16" customFormat="1" ht="14.4" x14ac:dyDescent="0.2">
      <c r="A49" s="472" t="s">
        <v>64</v>
      </c>
      <c r="B49" s="423" t="s">
        <v>322</v>
      </c>
      <c r="C49" s="424" t="s">
        <v>70</v>
      </c>
      <c r="D49" s="425">
        <v>90000000</v>
      </c>
      <c r="E49" s="425">
        <v>0</v>
      </c>
      <c r="F49" s="425">
        <v>0</v>
      </c>
      <c r="G49" s="425">
        <v>0</v>
      </c>
      <c r="H49" s="425">
        <v>0</v>
      </c>
      <c r="I49" s="425">
        <v>0</v>
      </c>
      <c r="J49" s="425">
        <v>0</v>
      </c>
      <c r="K49" s="425">
        <f t="shared" si="45"/>
        <v>0</v>
      </c>
      <c r="L49" s="508">
        <f t="shared" si="46"/>
        <v>90000000</v>
      </c>
      <c r="M49" s="526">
        <v>19113838.510000002</v>
      </c>
      <c r="N49" s="425">
        <v>6376643.3999999985</v>
      </c>
      <c r="O49" s="425">
        <v>6752914.7800000012</v>
      </c>
      <c r="P49" s="425">
        <f t="shared" si="47"/>
        <v>2387684.879999999</v>
      </c>
      <c r="Q49" s="527">
        <v>34631081.57</v>
      </c>
      <c r="R49" s="516">
        <f t="shared" si="48"/>
        <v>55368918.43</v>
      </c>
      <c r="S49" s="469">
        <f t="shared" si="36"/>
        <v>0.38478979522222223</v>
      </c>
    </row>
    <row r="50" spans="1:21" s="16" customFormat="1" ht="14.4" x14ac:dyDescent="0.2">
      <c r="A50" s="472" t="s">
        <v>64</v>
      </c>
      <c r="B50" s="423" t="s">
        <v>323</v>
      </c>
      <c r="C50" s="424" t="s">
        <v>71</v>
      </c>
      <c r="D50" s="425">
        <v>100000000</v>
      </c>
      <c r="E50" s="425">
        <v>0</v>
      </c>
      <c r="F50" s="425">
        <v>0</v>
      </c>
      <c r="G50" s="425">
        <v>0</v>
      </c>
      <c r="H50" s="425">
        <v>0</v>
      </c>
      <c r="I50" s="425">
        <v>0</v>
      </c>
      <c r="J50" s="425">
        <v>0</v>
      </c>
      <c r="K50" s="425">
        <f t="shared" si="45"/>
        <v>0</v>
      </c>
      <c r="L50" s="508">
        <f t="shared" si="46"/>
        <v>100000000</v>
      </c>
      <c r="M50" s="526">
        <v>19428627.039999999</v>
      </c>
      <c r="N50" s="425">
        <v>6396635.1300000027</v>
      </c>
      <c r="O50" s="425">
        <v>6300182.0199999996</v>
      </c>
      <c r="P50" s="425">
        <f t="shared" si="47"/>
        <v>6293901.0699999966</v>
      </c>
      <c r="Q50" s="527">
        <v>38419345.259999998</v>
      </c>
      <c r="R50" s="516">
        <f t="shared" si="48"/>
        <v>61580654.740000002</v>
      </c>
      <c r="S50" s="469">
        <f t="shared" si="36"/>
        <v>0.38419345259999998</v>
      </c>
    </row>
    <row r="51" spans="1:21" s="16" customFormat="1" ht="14.4" x14ac:dyDescent="0.2">
      <c r="A51" s="472" t="s">
        <v>64</v>
      </c>
      <c r="B51" s="423" t="s">
        <v>324</v>
      </c>
      <c r="C51" s="424" t="s">
        <v>72</v>
      </c>
      <c r="D51" s="425">
        <v>3700000</v>
      </c>
      <c r="E51" s="425">
        <v>0</v>
      </c>
      <c r="F51" s="425">
        <v>0</v>
      </c>
      <c r="G51" s="425">
        <v>0</v>
      </c>
      <c r="H51" s="425">
        <v>0</v>
      </c>
      <c r="I51" s="425">
        <v>0</v>
      </c>
      <c r="J51" s="425">
        <v>0</v>
      </c>
      <c r="K51" s="425">
        <f t="shared" si="45"/>
        <v>0</v>
      </c>
      <c r="L51" s="508">
        <f t="shared" si="46"/>
        <v>3700000</v>
      </c>
      <c r="M51" s="526">
        <v>3371867.5</v>
      </c>
      <c r="N51" s="425">
        <v>0</v>
      </c>
      <c r="O51" s="425">
        <v>0</v>
      </c>
      <c r="P51" s="425">
        <f t="shared" si="47"/>
        <v>0</v>
      </c>
      <c r="Q51" s="527">
        <v>3371867.5</v>
      </c>
      <c r="R51" s="516">
        <f t="shared" si="48"/>
        <v>328132.5</v>
      </c>
      <c r="S51" s="469">
        <f t="shared" si="36"/>
        <v>0.91131554054054054</v>
      </c>
    </row>
    <row r="52" spans="1:21" s="16" customFormat="1" ht="28.8" x14ac:dyDescent="0.2">
      <c r="A52" s="432" t="s">
        <v>64</v>
      </c>
      <c r="B52" s="420" t="s">
        <v>325</v>
      </c>
      <c r="C52" s="654" t="s">
        <v>495</v>
      </c>
      <c r="D52" s="422">
        <f>SUM(D53:D57)</f>
        <v>610695000</v>
      </c>
      <c r="E52" s="422">
        <f t="shared" ref="E52:R52" si="49">SUM(E53:E57)</f>
        <v>0</v>
      </c>
      <c r="F52" s="422">
        <f t="shared" si="49"/>
        <v>846000</v>
      </c>
      <c r="G52" s="422">
        <f t="shared" si="49"/>
        <v>0</v>
      </c>
      <c r="H52" s="422">
        <f t="shared" ref="H52:I52" si="50">SUM(H53:H57)</f>
        <v>0</v>
      </c>
      <c r="I52" s="422">
        <f t="shared" si="50"/>
        <v>0</v>
      </c>
      <c r="J52" s="422">
        <f t="shared" si="49"/>
        <v>0</v>
      </c>
      <c r="K52" s="422">
        <f t="shared" si="49"/>
        <v>846000</v>
      </c>
      <c r="L52" s="507">
        <f t="shared" si="49"/>
        <v>611541000</v>
      </c>
      <c r="M52" s="524">
        <v>67410412.390000001</v>
      </c>
      <c r="N52" s="422">
        <v>25366729.780000005</v>
      </c>
      <c r="O52" s="422">
        <v>19907424.419999987</v>
      </c>
      <c r="P52" s="422">
        <f t="shared" si="49"/>
        <v>144630387.88000005</v>
      </c>
      <c r="Q52" s="525">
        <f t="shared" si="49"/>
        <v>257314954.47000003</v>
      </c>
      <c r="R52" s="515">
        <f t="shared" si="49"/>
        <v>354226045.52999997</v>
      </c>
      <c r="S52" s="468">
        <f t="shared" si="36"/>
        <v>0.42076484564403699</v>
      </c>
    </row>
    <row r="53" spans="1:21" s="16" customFormat="1" ht="14.4" x14ac:dyDescent="0.2">
      <c r="A53" s="472" t="s">
        <v>64</v>
      </c>
      <c r="B53" s="423" t="s">
        <v>327</v>
      </c>
      <c r="C53" s="424" t="s">
        <v>73</v>
      </c>
      <c r="D53" s="425">
        <v>564545000</v>
      </c>
      <c r="E53" s="425">
        <v>0</v>
      </c>
      <c r="F53" s="425">
        <v>200000</v>
      </c>
      <c r="G53" s="425">
        <v>0</v>
      </c>
      <c r="H53" s="425">
        <v>0</v>
      </c>
      <c r="I53" s="425">
        <v>0</v>
      </c>
      <c r="J53" s="425">
        <v>0</v>
      </c>
      <c r="K53" s="425">
        <f t="shared" ref="K53:K57" si="51">SUM(E53:J53)</f>
        <v>200000</v>
      </c>
      <c r="L53" s="508">
        <f t="shared" ref="L53:L57" si="52">D53+K53</f>
        <v>564745000</v>
      </c>
      <c r="M53" s="526">
        <v>61314760.130000003</v>
      </c>
      <c r="N53" s="425">
        <v>14166666.660000004</v>
      </c>
      <c r="O53" s="425">
        <v>18582458.059999987</v>
      </c>
      <c r="P53" s="425">
        <f t="shared" ref="P53:P57" si="53">Q53-M53-N53-O53</f>
        <v>142957774.51000005</v>
      </c>
      <c r="Q53" s="527">
        <v>237021659.36000001</v>
      </c>
      <c r="R53" s="516">
        <f t="shared" ref="R53:R57" si="54">L53-Q53</f>
        <v>327723340.63999999</v>
      </c>
      <c r="S53" s="469">
        <f t="shared" si="36"/>
        <v>0.41969678237080454</v>
      </c>
    </row>
    <row r="54" spans="1:21" s="11" customFormat="1" ht="28.8" x14ac:dyDescent="0.2">
      <c r="A54" s="472" t="s">
        <v>64</v>
      </c>
      <c r="B54" s="423" t="s">
        <v>328</v>
      </c>
      <c r="C54" s="424" t="s">
        <v>74</v>
      </c>
      <c r="D54" s="425">
        <v>11500000</v>
      </c>
      <c r="E54" s="425">
        <v>0</v>
      </c>
      <c r="F54" s="425">
        <v>200000</v>
      </c>
      <c r="G54" s="425">
        <v>0</v>
      </c>
      <c r="H54" s="425">
        <v>0</v>
      </c>
      <c r="I54" s="425">
        <v>0</v>
      </c>
      <c r="J54" s="425">
        <v>0</v>
      </c>
      <c r="K54" s="425">
        <f t="shared" si="51"/>
        <v>200000</v>
      </c>
      <c r="L54" s="508">
        <f t="shared" si="52"/>
        <v>11700000</v>
      </c>
      <c r="M54" s="526">
        <v>773146</v>
      </c>
      <c r="N54" s="425">
        <v>106785</v>
      </c>
      <c r="O54" s="425">
        <v>24860</v>
      </c>
      <c r="P54" s="425">
        <f t="shared" si="53"/>
        <v>125995</v>
      </c>
      <c r="Q54" s="527">
        <v>1030786</v>
      </c>
      <c r="R54" s="516">
        <f t="shared" si="54"/>
        <v>10669214</v>
      </c>
      <c r="S54" s="469">
        <f t="shared" si="36"/>
        <v>8.8101367521367518E-2</v>
      </c>
    </row>
    <row r="55" spans="1:21" s="11" customFormat="1" ht="14.4" x14ac:dyDescent="0.2">
      <c r="A55" s="472" t="s">
        <v>64</v>
      </c>
      <c r="B55" s="423" t="s">
        <v>329</v>
      </c>
      <c r="C55" s="424" t="s">
        <v>75</v>
      </c>
      <c r="D55" s="425">
        <v>4000000</v>
      </c>
      <c r="E55" s="425">
        <v>0</v>
      </c>
      <c r="F55" s="425">
        <v>226000</v>
      </c>
      <c r="G55" s="425">
        <v>0</v>
      </c>
      <c r="H55" s="425">
        <v>0</v>
      </c>
      <c r="I55" s="425">
        <v>0</v>
      </c>
      <c r="J55" s="425">
        <v>0</v>
      </c>
      <c r="K55" s="425">
        <f t="shared" si="51"/>
        <v>226000</v>
      </c>
      <c r="L55" s="508">
        <f t="shared" si="52"/>
        <v>4226000</v>
      </c>
      <c r="M55" s="526">
        <v>237752</v>
      </c>
      <c r="N55" s="425">
        <v>341881.5</v>
      </c>
      <c r="O55" s="425">
        <v>140346</v>
      </c>
      <c r="P55" s="425">
        <f t="shared" si="53"/>
        <v>227695</v>
      </c>
      <c r="Q55" s="527">
        <v>947674.5</v>
      </c>
      <c r="R55" s="516">
        <f t="shared" si="54"/>
        <v>3278325.5</v>
      </c>
      <c r="S55" s="469">
        <f t="shared" si="36"/>
        <v>0.22424858021769994</v>
      </c>
    </row>
    <row r="56" spans="1:21" s="16" customFormat="1" ht="28.8" x14ac:dyDescent="0.2">
      <c r="A56" s="472" t="s">
        <v>64</v>
      </c>
      <c r="B56" s="423" t="s">
        <v>330</v>
      </c>
      <c r="C56" s="424" t="s">
        <v>462</v>
      </c>
      <c r="D56" s="425">
        <v>3500000</v>
      </c>
      <c r="E56" s="425">
        <v>0</v>
      </c>
      <c r="F56" s="425">
        <v>220000</v>
      </c>
      <c r="G56" s="425">
        <v>0</v>
      </c>
      <c r="H56" s="425">
        <v>0</v>
      </c>
      <c r="I56" s="425">
        <v>0</v>
      </c>
      <c r="J56" s="425">
        <v>0</v>
      </c>
      <c r="K56" s="425">
        <f t="shared" si="51"/>
        <v>220000</v>
      </c>
      <c r="L56" s="508">
        <f t="shared" si="52"/>
        <v>3720000</v>
      </c>
      <c r="M56" s="526">
        <v>641624</v>
      </c>
      <c r="N56" s="425">
        <v>197436</v>
      </c>
      <c r="O56" s="425">
        <v>202828</v>
      </c>
      <c r="P56" s="425">
        <f t="shared" si="53"/>
        <v>193776</v>
      </c>
      <c r="Q56" s="527">
        <v>1235664</v>
      </c>
      <c r="R56" s="516">
        <f t="shared" si="54"/>
        <v>2484336</v>
      </c>
      <c r="S56" s="469">
        <f t="shared" si="36"/>
        <v>0.33216774193548387</v>
      </c>
    </row>
    <row r="57" spans="1:21" s="16" customFormat="1" ht="28.8" x14ac:dyDescent="0.2">
      <c r="A57" s="472" t="s">
        <v>64</v>
      </c>
      <c r="B57" s="423" t="s">
        <v>331</v>
      </c>
      <c r="C57" s="424" t="s">
        <v>463</v>
      </c>
      <c r="D57" s="425">
        <v>27150000</v>
      </c>
      <c r="E57" s="425">
        <v>0</v>
      </c>
      <c r="F57" s="425">
        <v>0</v>
      </c>
      <c r="G57" s="425">
        <v>0</v>
      </c>
      <c r="H57" s="425">
        <v>0</v>
      </c>
      <c r="I57" s="425">
        <v>0</v>
      </c>
      <c r="J57" s="425">
        <v>0</v>
      </c>
      <c r="K57" s="425">
        <f t="shared" si="51"/>
        <v>0</v>
      </c>
      <c r="L57" s="508">
        <f t="shared" si="52"/>
        <v>27150000</v>
      </c>
      <c r="M57" s="526">
        <v>4443130.26</v>
      </c>
      <c r="N57" s="425">
        <v>10553960.620000001</v>
      </c>
      <c r="O57" s="425">
        <v>956932.3599999994</v>
      </c>
      <c r="P57" s="425">
        <f t="shared" si="53"/>
        <v>1125147.3699999992</v>
      </c>
      <c r="Q57" s="527">
        <v>17079170.609999999</v>
      </c>
      <c r="R57" s="516">
        <f t="shared" si="54"/>
        <v>10070829.390000001</v>
      </c>
      <c r="S57" s="469">
        <f t="shared" si="36"/>
        <v>0.62906705745856351</v>
      </c>
      <c r="U57" s="23"/>
    </row>
    <row r="58" spans="1:21" s="16" customFormat="1" ht="28.8" x14ac:dyDescent="0.2">
      <c r="A58" s="432" t="s">
        <v>64</v>
      </c>
      <c r="B58" s="420" t="s">
        <v>332</v>
      </c>
      <c r="C58" s="654" t="s">
        <v>333</v>
      </c>
      <c r="D58" s="422">
        <f>SUM(D59:D65)</f>
        <v>1645180715.9000001</v>
      </c>
      <c r="E58" s="422">
        <f t="shared" ref="E58:R58" si="55">SUM(E59:E65)</f>
        <v>52965770</v>
      </c>
      <c r="F58" s="422">
        <f t="shared" si="55"/>
        <v>24373340</v>
      </c>
      <c r="G58" s="422">
        <f t="shared" si="55"/>
        <v>0</v>
      </c>
      <c r="H58" s="422">
        <f t="shared" ref="H58:I58" si="56">SUM(H59:H65)</f>
        <v>0</v>
      </c>
      <c r="I58" s="422">
        <f t="shared" si="56"/>
        <v>0</v>
      </c>
      <c r="J58" s="422">
        <f t="shared" si="55"/>
        <v>0</v>
      </c>
      <c r="K58" s="422">
        <f t="shared" si="55"/>
        <v>77339110</v>
      </c>
      <c r="L58" s="507">
        <f t="shared" si="55"/>
        <v>1722519825.9000001</v>
      </c>
      <c r="M58" s="524">
        <v>178103174.89999998</v>
      </c>
      <c r="N58" s="422">
        <v>74215846.960000008</v>
      </c>
      <c r="O58" s="422">
        <v>122719210.15000001</v>
      </c>
      <c r="P58" s="422">
        <f t="shared" si="55"/>
        <v>57004891.939999968</v>
      </c>
      <c r="Q58" s="525">
        <f t="shared" si="55"/>
        <v>432043123.94999999</v>
      </c>
      <c r="R58" s="515">
        <f t="shared" si="55"/>
        <v>1290476701.95</v>
      </c>
      <c r="S58" s="468">
        <f t="shared" si="36"/>
        <v>0.25082040708835474</v>
      </c>
    </row>
    <row r="59" spans="1:21" s="16" customFormat="1" ht="28.8" x14ac:dyDescent="0.2">
      <c r="A59" s="472" t="s">
        <v>64</v>
      </c>
      <c r="B59" s="423" t="s">
        <v>334</v>
      </c>
      <c r="C59" s="424" t="s">
        <v>335</v>
      </c>
      <c r="D59" s="425">
        <v>22464000</v>
      </c>
      <c r="E59" s="425">
        <v>0</v>
      </c>
      <c r="F59" s="425">
        <v>0</v>
      </c>
      <c r="G59" s="425">
        <v>0</v>
      </c>
      <c r="H59" s="425">
        <v>0</v>
      </c>
      <c r="I59" s="425">
        <v>0</v>
      </c>
      <c r="J59" s="425">
        <v>0</v>
      </c>
      <c r="K59" s="425">
        <f t="shared" ref="K59:K65" si="57">SUM(E59:J59)</f>
        <v>0</v>
      </c>
      <c r="L59" s="508">
        <f t="shared" ref="L59:L65" si="58">D59+K59</f>
        <v>22464000</v>
      </c>
      <c r="M59" s="526">
        <v>5616000</v>
      </c>
      <c r="N59" s="425">
        <v>1872000</v>
      </c>
      <c r="O59" s="425">
        <v>1872000</v>
      </c>
      <c r="P59" s="425">
        <f t="shared" ref="P59:P65" si="59">Q59-M59-N59-O59</f>
        <v>1872000</v>
      </c>
      <c r="Q59" s="527">
        <v>11232000</v>
      </c>
      <c r="R59" s="516">
        <f t="shared" ref="R59:R65" si="60">L59-Q59</f>
        <v>11232000</v>
      </c>
      <c r="S59" s="469">
        <f t="shared" si="36"/>
        <v>0.5</v>
      </c>
    </row>
    <row r="60" spans="1:21" s="16" customFormat="1" ht="14.4" x14ac:dyDescent="0.2">
      <c r="A60" s="472" t="s">
        <v>64</v>
      </c>
      <c r="B60" s="423" t="s">
        <v>336</v>
      </c>
      <c r="C60" s="424" t="s">
        <v>76</v>
      </c>
      <c r="D60" s="425">
        <v>10000000</v>
      </c>
      <c r="E60" s="425">
        <v>0</v>
      </c>
      <c r="F60" s="425">
        <v>0</v>
      </c>
      <c r="G60" s="425">
        <v>0</v>
      </c>
      <c r="H60" s="425">
        <v>0</v>
      </c>
      <c r="I60" s="425">
        <v>0</v>
      </c>
      <c r="J60" s="425">
        <v>0</v>
      </c>
      <c r="K60" s="425">
        <f t="shared" si="57"/>
        <v>0</v>
      </c>
      <c r="L60" s="508">
        <f t="shared" si="58"/>
        <v>10000000</v>
      </c>
      <c r="M60" s="526">
        <v>0</v>
      </c>
      <c r="N60" s="425">
        <v>0</v>
      </c>
      <c r="O60" s="425">
        <v>0</v>
      </c>
      <c r="P60" s="425">
        <f t="shared" si="59"/>
        <v>0</v>
      </c>
      <c r="Q60" s="527">
        <v>0</v>
      </c>
      <c r="R60" s="516">
        <f t="shared" si="60"/>
        <v>10000000</v>
      </c>
      <c r="S60" s="469">
        <f t="shared" si="36"/>
        <v>0</v>
      </c>
    </row>
    <row r="61" spans="1:21" s="16" customFormat="1" ht="28.8" x14ac:dyDescent="0.2">
      <c r="A61" s="472" t="s">
        <v>64</v>
      </c>
      <c r="B61" s="423" t="s">
        <v>337</v>
      </c>
      <c r="C61" s="424" t="s">
        <v>77</v>
      </c>
      <c r="D61" s="425">
        <v>564829874.89999998</v>
      </c>
      <c r="E61" s="425">
        <v>0</v>
      </c>
      <c r="F61" s="425">
        <v>0</v>
      </c>
      <c r="G61" s="425">
        <v>0</v>
      </c>
      <c r="H61" s="425">
        <v>0</v>
      </c>
      <c r="I61" s="425">
        <v>0</v>
      </c>
      <c r="J61" s="425">
        <v>0</v>
      </c>
      <c r="K61" s="425">
        <f t="shared" si="57"/>
        <v>0</v>
      </c>
      <c r="L61" s="508">
        <f t="shared" si="58"/>
        <v>564829874.89999998</v>
      </c>
      <c r="M61" s="526">
        <v>0</v>
      </c>
      <c r="N61" s="425">
        <v>0</v>
      </c>
      <c r="O61" s="425">
        <v>0</v>
      </c>
      <c r="P61" s="425">
        <f t="shared" si="59"/>
        <v>0</v>
      </c>
      <c r="Q61" s="527">
        <v>0</v>
      </c>
      <c r="R61" s="516">
        <f t="shared" si="60"/>
        <v>564829874.89999998</v>
      </c>
      <c r="S61" s="469">
        <f t="shared" si="36"/>
        <v>0</v>
      </c>
    </row>
    <row r="62" spans="1:21" s="16" customFormat="1" ht="28.8" x14ac:dyDescent="0.2">
      <c r="A62" s="472" t="s">
        <v>64</v>
      </c>
      <c r="B62" s="423" t="s">
        <v>338</v>
      </c>
      <c r="C62" s="424" t="s">
        <v>339</v>
      </c>
      <c r="D62" s="425">
        <v>251425000</v>
      </c>
      <c r="E62" s="425">
        <v>52965770</v>
      </c>
      <c r="F62" s="425">
        <v>40357340</v>
      </c>
      <c r="G62" s="425">
        <v>0</v>
      </c>
      <c r="H62" s="425">
        <v>0</v>
      </c>
      <c r="I62" s="425">
        <v>0</v>
      </c>
      <c r="J62" s="425">
        <v>0</v>
      </c>
      <c r="K62" s="425">
        <f t="shared" si="57"/>
        <v>93323110</v>
      </c>
      <c r="L62" s="508">
        <f t="shared" si="58"/>
        <v>344748110</v>
      </c>
      <c r="M62" s="526">
        <v>57130825.829999998</v>
      </c>
      <c r="N62" s="425">
        <v>11905002</v>
      </c>
      <c r="O62" s="425">
        <v>58184647.689999998</v>
      </c>
      <c r="P62" s="425">
        <f t="shared" si="59"/>
        <v>0</v>
      </c>
      <c r="Q62" s="527">
        <v>127220475.52</v>
      </c>
      <c r="R62" s="516">
        <f t="shared" si="60"/>
        <v>217527634.48000002</v>
      </c>
      <c r="S62" s="469">
        <f t="shared" si="36"/>
        <v>0.36902443212814129</v>
      </c>
    </row>
    <row r="63" spans="1:21" s="16" customFormat="1" ht="28.8" x14ac:dyDescent="0.2">
      <c r="A63" s="472" t="s">
        <v>64</v>
      </c>
      <c r="B63" s="423" t="s">
        <v>340</v>
      </c>
      <c r="C63" s="424" t="s">
        <v>461</v>
      </c>
      <c r="D63" s="425">
        <v>17000000</v>
      </c>
      <c r="E63" s="425">
        <v>0</v>
      </c>
      <c r="F63" s="425">
        <v>0</v>
      </c>
      <c r="G63" s="425">
        <v>0</v>
      </c>
      <c r="H63" s="425">
        <v>0</v>
      </c>
      <c r="I63" s="425">
        <v>0</v>
      </c>
      <c r="J63" s="425">
        <v>0</v>
      </c>
      <c r="K63" s="425">
        <f t="shared" si="57"/>
        <v>0</v>
      </c>
      <c r="L63" s="508">
        <f t="shared" si="58"/>
        <v>17000000</v>
      </c>
      <c r="M63" s="526">
        <v>0</v>
      </c>
      <c r="N63" s="425">
        <v>0</v>
      </c>
      <c r="O63" s="425">
        <v>16455365.1</v>
      </c>
      <c r="P63" s="425">
        <f t="shared" si="59"/>
        <v>0</v>
      </c>
      <c r="Q63" s="527">
        <v>16455365.1</v>
      </c>
      <c r="R63" s="516">
        <f t="shared" si="60"/>
        <v>544634.90000000037</v>
      </c>
      <c r="S63" s="469">
        <f t="shared" si="36"/>
        <v>0.96796265294117645</v>
      </c>
    </row>
    <row r="64" spans="1:21" s="16" customFormat="1" ht="14.4" x14ac:dyDescent="0.2">
      <c r="A64" s="472" t="s">
        <v>64</v>
      </c>
      <c r="B64" s="423" t="s">
        <v>342</v>
      </c>
      <c r="C64" s="424" t="s">
        <v>78</v>
      </c>
      <c r="D64" s="425">
        <v>719861841</v>
      </c>
      <c r="E64" s="425">
        <v>0</v>
      </c>
      <c r="F64" s="425">
        <v>-21635000</v>
      </c>
      <c r="G64" s="425">
        <v>0</v>
      </c>
      <c r="H64" s="425">
        <v>0</v>
      </c>
      <c r="I64" s="425">
        <v>0</v>
      </c>
      <c r="J64" s="425">
        <v>0</v>
      </c>
      <c r="K64" s="425">
        <f t="shared" si="57"/>
        <v>-21635000</v>
      </c>
      <c r="L64" s="508">
        <f t="shared" si="58"/>
        <v>698226841</v>
      </c>
      <c r="M64" s="526">
        <v>115356349.06999999</v>
      </c>
      <c r="N64" s="425">
        <v>60397267.840000004</v>
      </c>
      <c r="O64" s="425">
        <v>46165288.330000013</v>
      </c>
      <c r="P64" s="425">
        <f t="shared" si="59"/>
        <v>55104569.029999971</v>
      </c>
      <c r="Q64" s="527">
        <v>277023474.26999998</v>
      </c>
      <c r="R64" s="516">
        <f t="shared" si="60"/>
        <v>421203366.73000002</v>
      </c>
      <c r="S64" s="469">
        <f t="shared" si="36"/>
        <v>0.39675282874151208</v>
      </c>
    </row>
    <row r="65" spans="1:19" s="16" customFormat="1" ht="28.8" x14ac:dyDescent="0.2">
      <c r="A65" s="472" t="s">
        <v>64</v>
      </c>
      <c r="B65" s="423" t="s">
        <v>343</v>
      </c>
      <c r="C65" s="424" t="s">
        <v>79</v>
      </c>
      <c r="D65" s="425">
        <v>59600000</v>
      </c>
      <c r="E65" s="425">
        <v>0</v>
      </c>
      <c r="F65" s="425">
        <v>5651000</v>
      </c>
      <c r="G65" s="425">
        <v>0</v>
      </c>
      <c r="H65" s="425">
        <v>0</v>
      </c>
      <c r="I65" s="425">
        <v>0</v>
      </c>
      <c r="J65" s="425">
        <v>0</v>
      </c>
      <c r="K65" s="425">
        <f t="shared" si="57"/>
        <v>5651000</v>
      </c>
      <c r="L65" s="508">
        <f t="shared" si="58"/>
        <v>65251000</v>
      </c>
      <c r="M65" s="526">
        <v>0</v>
      </c>
      <c r="N65" s="425">
        <v>41577.120000000003</v>
      </c>
      <c r="O65" s="425">
        <v>41909.029999999992</v>
      </c>
      <c r="P65" s="425">
        <f t="shared" si="59"/>
        <v>28322.910000000011</v>
      </c>
      <c r="Q65" s="527">
        <v>111809.06</v>
      </c>
      <c r="R65" s="516">
        <f t="shared" si="60"/>
        <v>65139190.939999998</v>
      </c>
      <c r="S65" s="469">
        <f t="shared" si="36"/>
        <v>1.7135225513785228E-3</v>
      </c>
    </row>
    <row r="66" spans="1:19" s="16" customFormat="1" ht="28.8" x14ac:dyDescent="0.2">
      <c r="A66" s="432" t="s">
        <v>64</v>
      </c>
      <c r="B66" s="420" t="s">
        <v>344</v>
      </c>
      <c r="C66" s="654" t="s">
        <v>345</v>
      </c>
      <c r="D66" s="422">
        <f>SUM(D67:D70)</f>
        <v>283125000</v>
      </c>
      <c r="E66" s="422">
        <f t="shared" ref="E66:R66" si="61">SUM(E67:E70)</f>
        <v>0</v>
      </c>
      <c r="F66" s="422">
        <f t="shared" si="61"/>
        <v>-18225000</v>
      </c>
      <c r="G66" s="422">
        <f t="shared" si="61"/>
        <v>0</v>
      </c>
      <c r="H66" s="422">
        <f t="shared" ref="H66:I66" si="62">SUM(H67:H70)</f>
        <v>0</v>
      </c>
      <c r="I66" s="422">
        <f t="shared" si="62"/>
        <v>0</v>
      </c>
      <c r="J66" s="422">
        <f t="shared" si="61"/>
        <v>0</v>
      </c>
      <c r="K66" s="422">
        <f t="shared" si="61"/>
        <v>-18225000</v>
      </c>
      <c r="L66" s="507">
        <f t="shared" si="61"/>
        <v>264900000</v>
      </c>
      <c r="M66" s="524">
        <v>12701137.82</v>
      </c>
      <c r="N66" s="422">
        <v>4422145</v>
      </c>
      <c r="O66" s="422">
        <v>4438775</v>
      </c>
      <c r="P66" s="422">
        <f t="shared" si="61"/>
        <v>4387570</v>
      </c>
      <c r="Q66" s="525">
        <f t="shared" si="61"/>
        <v>25949627.82</v>
      </c>
      <c r="R66" s="515">
        <f t="shared" si="61"/>
        <v>238950372.18000001</v>
      </c>
      <c r="S66" s="468">
        <f t="shared" si="36"/>
        <v>9.7960089920724802E-2</v>
      </c>
    </row>
    <row r="67" spans="1:19" s="16" customFormat="1" ht="14.4" x14ac:dyDescent="0.2">
      <c r="A67" s="472" t="s">
        <v>64</v>
      </c>
      <c r="B67" s="423" t="s">
        <v>346</v>
      </c>
      <c r="C67" s="424" t="s">
        <v>80</v>
      </c>
      <c r="D67" s="425">
        <v>71475000</v>
      </c>
      <c r="E67" s="425">
        <v>0</v>
      </c>
      <c r="F67" s="425">
        <v>-7375000</v>
      </c>
      <c r="G67" s="425">
        <v>0</v>
      </c>
      <c r="H67" s="425">
        <v>0</v>
      </c>
      <c r="I67" s="425">
        <v>0</v>
      </c>
      <c r="J67" s="425">
        <v>0</v>
      </c>
      <c r="K67" s="425">
        <f t="shared" ref="K67:K70" si="63">SUM(E67:J67)</f>
        <v>-7375000</v>
      </c>
      <c r="L67" s="508">
        <f t="shared" ref="L67:L70" si="64">D67+K67</f>
        <v>64100000</v>
      </c>
      <c r="M67" s="526">
        <v>503211</v>
      </c>
      <c r="N67" s="425">
        <v>239315</v>
      </c>
      <c r="O67" s="425">
        <v>349625</v>
      </c>
      <c r="P67" s="425">
        <f t="shared" ref="P67:P70" si="65">Q67-M67-N67-O67</f>
        <v>330270</v>
      </c>
      <c r="Q67" s="527">
        <v>1422421</v>
      </c>
      <c r="R67" s="516">
        <f t="shared" ref="R67:R70" si="66">L67-Q67</f>
        <v>62677579</v>
      </c>
      <c r="S67" s="469">
        <f t="shared" si="36"/>
        <v>2.2190655226209048E-2</v>
      </c>
    </row>
    <row r="68" spans="1:19" s="16" customFormat="1" ht="14.4" x14ac:dyDescent="0.2">
      <c r="A68" s="472" t="s">
        <v>64</v>
      </c>
      <c r="B68" s="423" t="s">
        <v>347</v>
      </c>
      <c r="C68" s="424" t="s">
        <v>81</v>
      </c>
      <c r="D68" s="425">
        <v>191650000</v>
      </c>
      <c r="E68" s="425">
        <v>0</v>
      </c>
      <c r="F68" s="425">
        <v>-10850000</v>
      </c>
      <c r="G68" s="425">
        <v>0</v>
      </c>
      <c r="H68" s="425">
        <v>0</v>
      </c>
      <c r="I68" s="425">
        <v>0</v>
      </c>
      <c r="J68" s="425">
        <v>0</v>
      </c>
      <c r="K68" s="425">
        <f t="shared" si="63"/>
        <v>-10850000</v>
      </c>
      <c r="L68" s="508">
        <f t="shared" si="64"/>
        <v>180800000</v>
      </c>
      <c r="M68" s="526">
        <v>7689900</v>
      </c>
      <c r="N68" s="425">
        <v>4182830</v>
      </c>
      <c r="O68" s="425">
        <v>4089150</v>
      </c>
      <c r="P68" s="425">
        <f t="shared" si="65"/>
        <v>4057300</v>
      </c>
      <c r="Q68" s="527">
        <v>20019180</v>
      </c>
      <c r="R68" s="516">
        <f t="shared" si="66"/>
        <v>160780820</v>
      </c>
      <c r="S68" s="469">
        <f t="shared" si="36"/>
        <v>0.11072555309734514</v>
      </c>
    </row>
    <row r="69" spans="1:19" s="11" customFormat="1" ht="14.4" x14ac:dyDescent="0.2">
      <c r="A69" s="472" t="s">
        <v>64</v>
      </c>
      <c r="B69" s="423" t="s">
        <v>348</v>
      </c>
      <c r="C69" s="424" t="s">
        <v>349</v>
      </c>
      <c r="D69" s="425">
        <v>10000000</v>
      </c>
      <c r="E69" s="425">
        <v>0</v>
      </c>
      <c r="F69" s="425">
        <v>0</v>
      </c>
      <c r="G69" s="425">
        <v>0</v>
      </c>
      <c r="H69" s="425">
        <v>0</v>
      </c>
      <c r="I69" s="425">
        <v>0</v>
      </c>
      <c r="J69" s="425">
        <v>0</v>
      </c>
      <c r="K69" s="425">
        <f t="shared" si="63"/>
        <v>0</v>
      </c>
      <c r="L69" s="508">
        <f t="shared" si="64"/>
        <v>10000000</v>
      </c>
      <c r="M69" s="526">
        <v>2060000</v>
      </c>
      <c r="N69" s="425">
        <v>0</v>
      </c>
      <c r="O69" s="425">
        <v>0</v>
      </c>
      <c r="P69" s="425">
        <f t="shared" si="65"/>
        <v>0</v>
      </c>
      <c r="Q69" s="527">
        <v>2060000</v>
      </c>
      <c r="R69" s="516">
        <f t="shared" si="66"/>
        <v>7940000</v>
      </c>
      <c r="S69" s="469">
        <f t="shared" si="36"/>
        <v>0.20599999999999999</v>
      </c>
    </row>
    <row r="70" spans="1:19" s="11" customFormat="1" ht="14.4" x14ac:dyDescent="0.2">
      <c r="A70" s="472" t="s">
        <v>64</v>
      </c>
      <c r="B70" s="423" t="s">
        <v>350</v>
      </c>
      <c r="C70" s="424" t="s">
        <v>351</v>
      </c>
      <c r="D70" s="425">
        <v>10000000</v>
      </c>
      <c r="E70" s="425">
        <v>0</v>
      </c>
      <c r="F70" s="425">
        <v>0</v>
      </c>
      <c r="G70" s="425">
        <v>0</v>
      </c>
      <c r="H70" s="425">
        <v>0</v>
      </c>
      <c r="I70" s="425">
        <v>0</v>
      </c>
      <c r="J70" s="425">
        <v>0</v>
      </c>
      <c r="K70" s="425">
        <f t="shared" si="63"/>
        <v>0</v>
      </c>
      <c r="L70" s="508">
        <f t="shared" si="64"/>
        <v>10000000</v>
      </c>
      <c r="M70" s="526">
        <v>2448026.8199999998</v>
      </c>
      <c r="N70" s="425">
        <v>0</v>
      </c>
      <c r="O70" s="425">
        <v>0</v>
      </c>
      <c r="P70" s="425">
        <f t="shared" si="65"/>
        <v>0</v>
      </c>
      <c r="Q70" s="527">
        <v>2448026.8199999998</v>
      </c>
      <c r="R70" s="516">
        <f t="shared" si="66"/>
        <v>7551973.1799999997</v>
      </c>
      <c r="S70" s="469">
        <f t="shared" si="36"/>
        <v>0.24480268199999999</v>
      </c>
    </row>
    <row r="71" spans="1:19" s="11" customFormat="1" ht="28.8" x14ac:dyDescent="0.2">
      <c r="A71" s="432" t="s">
        <v>64</v>
      </c>
      <c r="B71" s="420" t="s">
        <v>352</v>
      </c>
      <c r="C71" s="654" t="s">
        <v>466</v>
      </c>
      <c r="D71" s="422">
        <f>SUM(D72)</f>
        <v>93000000</v>
      </c>
      <c r="E71" s="422">
        <f t="shared" ref="E71:R71" si="67">SUM(E72)</f>
        <v>0</v>
      </c>
      <c r="F71" s="422">
        <f t="shared" si="67"/>
        <v>0</v>
      </c>
      <c r="G71" s="422">
        <f t="shared" si="67"/>
        <v>0</v>
      </c>
      <c r="H71" s="422">
        <f t="shared" si="67"/>
        <v>0</v>
      </c>
      <c r="I71" s="422">
        <f t="shared" si="67"/>
        <v>0</v>
      </c>
      <c r="J71" s="422">
        <f t="shared" si="67"/>
        <v>0</v>
      </c>
      <c r="K71" s="422">
        <f t="shared" si="67"/>
        <v>0</v>
      </c>
      <c r="L71" s="507">
        <f t="shared" si="67"/>
        <v>93000000</v>
      </c>
      <c r="M71" s="524">
        <v>68740674</v>
      </c>
      <c r="N71" s="422">
        <v>1795783.9699999988</v>
      </c>
      <c r="O71" s="422">
        <v>0</v>
      </c>
      <c r="P71" s="422">
        <f t="shared" si="67"/>
        <v>0</v>
      </c>
      <c r="Q71" s="525">
        <f t="shared" si="67"/>
        <v>70536457.969999999</v>
      </c>
      <c r="R71" s="515">
        <f t="shared" si="67"/>
        <v>22463542.030000001</v>
      </c>
      <c r="S71" s="468">
        <f t="shared" si="36"/>
        <v>0.75845653731182794</v>
      </c>
    </row>
    <row r="72" spans="1:19" s="16" customFormat="1" ht="14.4" x14ac:dyDescent="0.2">
      <c r="A72" s="472" t="s">
        <v>64</v>
      </c>
      <c r="B72" s="423" t="s">
        <v>353</v>
      </c>
      <c r="C72" s="424" t="s">
        <v>82</v>
      </c>
      <c r="D72" s="425">
        <v>93000000</v>
      </c>
      <c r="E72" s="425">
        <v>0</v>
      </c>
      <c r="F72" s="425">
        <v>0</v>
      </c>
      <c r="G72" s="425">
        <v>0</v>
      </c>
      <c r="H72" s="425">
        <v>0</v>
      </c>
      <c r="I72" s="425">
        <v>0</v>
      </c>
      <c r="J72" s="425">
        <v>0</v>
      </c>
      <c r="K72" s="425">
        <f>SUM(E72:J72)</f>
        <v>0</v>
      </c>
      <c r="L72" s="508">
        <f>D72+K72</f>
        <v>93000000</v>
      </c>
      <c r="M72" s="526">
        <v>68740674</v>
      </c>
      <c r="N72" s="425">
        <v>1795783.9699999988</v>
      </c>
      <c r="O72" s="425">
        <v>0</v>
      </c>
      <c r="P72" s="425">
        <f>Q72-M72-N72-O72</f>
        <v>0</v>
      </c>
      <c r="Q72" s="527">
        <v>70536457.969999999</v>
      </c>
      <c r="R72" s="516">
        <f>L72-Q72</f>
        <v>22463542.030000001</v>
      </c>
      <c r="S72" s="469">
        <f>Q72/L72</f>
        <v>0.75845653731182794</v>
      </c>
    </row>
    <row r="73" spans="1:19" s="11" customFormat="1" ht="14.4" x14ac:dyDescent="0.2">
      <c r="A73" s="432" t="s">
        <v>64</v>
      </c>
      <c r="B73" s="420" t="s">
        <v>354</v>
      </c>
      <c r="C73" s="654" t="s">
        <v>355</v>
      </c>
      <c r="D73" s="422">
        <f>SUM(D74:D76)</f>
        <v>193670250</v>
      </c>
      <c r="E73" s="422">
        <f t="shared" ref="E73:R73" si="68">SUM(E74:E76)</f>
        <v>-49801318</v>
      </c>
      <c r="F73" s="422">
        <f t="shared" si="68"/>
        <v>30000000</v>
      </c>
      <c r="G73" s="422">
        <f t="shared" si="68"/>
        <v>0</v>
      </c>
      <c r="H73" s="422">
        <f t="shared" ref="H73:I73" si="69">SUM(H74:H76)</f>
        <v>0</v>
      </c>
      <c r="I73" s="422">
        <f t="shared" si="69"/>
        <v>0</v>
      </c>
      <c r="J73" s="422">
        <f t="shared" si="68"/>
        <v>0</v>
      </c>
      <c r="K73" s="422">
        <f t="shared" si="68"/>
        <v>-19801318</v>
      </c>
      <c r="L73" s="507">
        <f t="shared" si="68"/>
        <v>173868932</v>
      </c>
      <c r="M73" s="524">
        <v>545460</v>
      </c>
      <c r="N73" s="422">
        <v>3484175</v>
      </c>
      <c r="O73" s="422">
        <v>142800</v>
      </c>
      <c r="P73" s="422">
        <f t="shared" si="68"/>
        <v>1010300.0099999998</v>
      </c>
      <c r="Q73" s="525">
        <f t="shared" si="68"/>
        <v>5182735.01</v>
      </c>
      <c r="R73" s="515">
        <f t="shared" si="68"/>
        <v>168686196.99000001</v>
      </c>
      <c r="S73" s="468">
        <f t="shared" si="36"/>
        <v>2.9808286911200441E-2</v>
      </c>
    </row>
    <row r="74" spans="1:19" s="16" customFormat="1" ht="14.4" x14ac:dyDescent="0.2">
      <c r="A74" s="472" t="s">
        <v>64</v>
      </c>
      <c r="B74" s="423" t="s">
        <v>356</v>
      </c>
      <c r="C74" s="424" t="s">
        <v>83</v>
      </c>
      <c r="D74" s="425">
        <v>182500000</v>
      </c>
      <c r="E74" s="425">
        <v>-49801318</v>
      </c>
      <c r="F74" s="425">
        <v>-500000</v>
      </c>
      <c r="G74" s="425">
        <v>0</v>
      </c>
      <c r="H74" s="425">
        <v>0</v>
      </c>
      <c r="I74" s="425">
        <v>0</v>
      </c>
      <c r="J74" s="425">
        <v>0</v>
      </c>
      <c r="K74" s="425">
        <f t="shared" ref="K74:K76" si="70">SUM(E74:J74)</f>
        <v>-50301318</v>
      </c>
      <c r="L74" s="508">
        <f t="shared" ref="L74:L76" si="71">D74+K74</f>
        <v>132198682</v>
      </c>
      <c r="M74" s="526">
        <v>545460</v>
      </c>
      <c r="N74" s="425">
        <v>3484175</v>
      </c>
      <c r="O74" s="425">
        <v>142800</v>
      </c>
      <c r="P74" s="425">
        <f t="shared" ref="P74:P76" si="72">Q74-M74-N74-O74</f>
        <v>1010300.0099999998</v>
      </c>
      <c r="Q74" s="527">
        <v>5182735.01</v>
      </c>
      <c r="R74" s="516">
        <f t="shared" ref="R74:R76" si="73">L74-Q74</f>
        <v>127015946.98999999</v>
      </c>
      <c r="S74" s="469">
        <f t="shared" si="36"/>
        <v>3.920413525756633E-2</v>
      </c>
    </row>
    <row r="75" spans="1:19" s="16" customFormat="1" ht="28.8" x14ac:dyDescent="0.2">
      <c r="A75" s="472" t="s">
        <v>64</v>
      </c>
      <c r="B75" s="423" t="s">
        <v>357</v>
      </c>
      <c r="C75" s="424" t="s">
        <v>84</v>
      </c>
      <c r="D75" s="425">
        <v>11170250</v>
      </c>
      <c r="E75" s="425">
        <v>0</v>
      </c>
      <c r="F75" s="425">
        <v>30500000</v>
      </c>
      <c r="G75" s="425">
        <v>0</v>
      </c>
      <c r="H75" s="425">
        <v>0</v>
      </c>
      <c r="I75" s="425">
        <v>0</v>
      </c>
      <c r="J75" s="425">
        <v>0</v>
      </c>
      <c r="K75" s="425">
        <f t="shared" si="70"/>
        <v>30500000</v>
      </c>
      <c r="L75" s="508">
        <f t="shared" si="71"/>
        <v>41670250</v>
      </c>
      <c r="M75" s="526">
        <v>0</v>
      </c>
      <c r="N75" s="425">
        <v>0</v>
      </c>
      <c r="O75" s="425">
        <v>0</v>
      </c>
      <c r="P75" s="425">
        <f t="shared" si="72"/>
        <v>0</v>
      </c>
      <c r="Q75" s="527">
        <v>0</v>
      </c>
      <c r="R75" s="516">
        <f t="shared" si="73"/>
        <v>41670250</v>
      </c>
      <c r="S75" s="469">
        <f t="shared" si="36"/>
        <v>0</v>
      </c>
    </row>
    <row r="76" spans="1:19" s="16" customFormat="1" ht="28.8" x14ac:dyDescent="0.2">
      <c r="A76" s="472" t="s">
        <v>64</v>
      </c>
      <c r="B76" s="423" t="s">
        <v>358</v>
      </c>
      <c r="C76" s="424" t="s">
        <v>359</v>
      </c>
      <c r="D76" s="425">
        <v>0</v>
      </c>
      <c r="E76" s="425">
        <v>0</v>
      </c>
      <c r="F76" s="425">
        <v>0</v>
      </c>
      <c r="G76" s="425">
        <v>0</v>
      </c>
      <c r="H76" s="425">
        <v>0</v>
      </c>
      <c r="I76" s="425">
        <v>0</v>
      </c>
      <c r="J76" s="425">
        <v>0</v>
      </c>
      <c r="K76" s="425">
        <f t="shared" si="70"/>
        <v>0</v>
      </c>
      <c r="L76" s="508">
        <f t="shared" si="71"/>
        <v>0</v>
      </c>
      <c r="M76" s="526">
        <v>0</v>
      </c>
      <c r="N76" s="425">
        <v>0</v>
      </c>
      <c r="O76" s="425">
        <v>0</v>
      </c>
      <c r="P76" s="425">
        <f t="shared" si="72"/>
        <v>0</v>
      </c>
      <c r="Q76" s="527">
        <v>0</v>
      </c>
      <c r="R76" s="516">
        <f t="shared" si="73"/>
        <v>0</v>
      </c>
      <c r="S76" s="469" t="e">
        <f t="shared" si="36"/>
        <v>#DIV/0!</v>
      </c>
    </row>
    <row r="77" spans="1:19" s="16" customFormat="1" ht="28.8" x14ac:dyDescent="0.2">
      <c r="A77" s="432" t="s">
        <v>64</v>
      </c>
      <c r="B77" s="420" t="s">
        <v>360</v>
      </c>
      <c r="C77" s="654" t="s">
        <v>361</v>
      </c>
      <c r="D77" s="422">
        <f>SUM(D78:D82)</f>
        <v>335000000</v>
      </c>
      <c r="E77" s="422">
        <f t="shared" ref="E77:R77" si="74">SUM(E78:E82)</f>
        <v>0</v>
      </c>
      <c r="F77" s="422">
        <f t="shared" si="74"/>
        <v>295000</v>
      </c>
      <c r="G77" s="422">
        <f t="shared" si="74"/>
        <v>0</v>
      </c>
      <c r="H77" s="422">
        <f t="shared" ref="H77:I77" si="75">SUM(H78:H82)</f>
        <v>0</v>
      </c>
      <c r="I77" s="422">
        <f t="shared" si="75"/>
        <v>0</v>
      </c>
      <c r="J77" s="422">
        <f t="shared" si="74"/>
        <v>0</v>
      </c>
      <c r="K77" s="422">
        <f t="shared" si="74"/>
        <v>295000</v>
      </c>
      <c r="L77" s="507">
        <f t="shared" si="74"/>
        <v>335295000</v>
      </c>
      <c r="M77" s="524">
        <v>41313652.730000004</v>
      </c>
      <c r="N77" s="422">
        <v>30879907.640000001</v>
      </c>
      <c r="O77" s="422">
        <v>34789328.299999997</v>
      </c>
      <c r="P77" s="422">
        <f t="shared" si="74"/>
        <v>17463578.870000008</v>
      </c>
      <c r="Q77" s="525">
        <f t="shared" si="74"/>
        <v>124446467.53999999</v>
      </c>
      <c r="R77" s="515">
        <f t="shared" si="74"/>
        <v>210848532.45999998</v>
      </c>
      <c r="S77" s="468">
        <f t="shared" si="36"/>
        <v>0.3711551545355582</v>
      </c>
    </row>
    <row r="78" spans="1:19" s="16" customFormat="1" ht="28.8" x14ac:dyDescent="0.2">
      <c r="A78" s="472" t="s">
        <v>64</v>
      </c>
      <c r="B78" s="423" t="s">
        <v>362</v>
      </c>
      <c r="C78" s="424" t="s">
        <v>467</v>
      </c>
      <c r="D78" s="425">
        <v>100000000</v>
      </c>
      <c r="E78" s="425">
        <v>0</v>
      </c>
      <c r="F78" s="425">
        <v>0</v>
      </c>
      <c r="G78" s="425">
        <v>0</v>
      </c>
      <c r="H78" s="425">
        <v>0</v>
      </c>
      <c r="I78" s="425">
        <v>0</v>
      </c>
      <c r="J78" s="425">
        <v>0</v>
      </c>
      <c r="K78" s="425">
        <f t="shared" ref="K78:K82" si="76">SUM(E78:J78)</f>
        <v>0</v>
      </c>
      <c r="L78" s="508">
        <f t="shared" ref="L78:L82" si="77">D78+K78</f>
        <v>100000000</v>
      </c>
      <c r="M78" s="526">
        <v>8882523.4499999993</v>
      </c>
      <c r="N78" s="425">
        <v>17198794.190000001</v>
      </c>
      <c r="O78" s="425">
        <v>23206500.669999998</v>
      </c>
      <c r="P78" s="425">
        <f t="shared" ref="P78:P82" si="78">Q78-M78-N78-O78</f>
        <v>14044393.280000005</v>
      </c>
      <c r="Q78" s="527">
        <v>63332211.590000004</v>
      </c>
      <c r="R78" s="516">
        <f t="shared" ref="R78:R82" si="79">L78-Q78</f>
        <v>36667788.409999996</v>
      </c>
      <c r="S78" s="469">
        <f t="shared" si="36"/>
        <v>0.63332211589999998</v>
      </c>
    </row>
    <row r="79" spans="1:19" s="11" customFormat="1" ht="28.8" x14ac:dyDescent="0.2">
      <c r="A79" s="472" t="s">
        <v>64</v>
      </c>
      <c r="B79" s="423" t="s">
        <v>363</v>
      </c>
      <c r="C79" s="424" t="s">
        <v>470</v>
      </c>
      <c r="D79" s="425">
        <v>28000000</v>
      </c>
      <c r="E79" s="425">
        <v>0</v>
      </c>
      <c r="F79" s="425">
        <v>295000</v>
      </c>
      <c r="G79" s="425">
        <v>0</v>
      </c>
      <c r="H79" s="425">
        <v>0</v>
      </c>
      <c r="I79" s="425">
        <v>0</v>
      </c>
      <c r="J79" s="425">
        <v>0</v>
      </c>
      <c r="K79" s="425">
        <f t="shared" si="76"/>
        <v>295000</v>
      </c>
      <c r="L79" s="508">
        <f t="shared" si="77"/>
        <v>28295000</v>
      </c>
      <c r="M79" s="526">
        <v>9288594.7100000009</v>
      </c>
      <c r="N79" s="425">
        <v>6606948.1199999992</v>
      </c>
      <c r="O79" s="425">
        <v>3876816.7000000011</v>
      </c>
      <c r="P79" s="425">
        <f t="shared" si="78"/>
        <v>218558.28999999911</v>
      </c>
      <c r="Q79" s="527">
        <v>19990917.82</v>
      </c>
      <c r="R79" s="516">
        <f t="shared" si="79"/>
        <v>8304082.1799999997</v>
      </c>
      <c r="S79" s="469">
        <f t="shared" si="36"/>
        <v>0.70651768227602052</v>
      </c>
    </row>
    <row r="80" spans="1:19" s="16" customFormat="1" ht="28.8" x14ac:dyDescent="0.2">
      <c r="A80" s="472" t="s">
        <v>64</v>
      </c>
      <c r="B80" s="423" t="s">
        <v>364</v>
      </c>
      <c r="C80" s="424" t="s">
        <v>469</v>
      </c>
      <c r="D80" s="425">
        <v>4000000</v>
      </c>
      <c r="E80" s="425">
        <v>0</v>
      </c>
      <c r="F80" s="425">
        <v>0</v>
      </c>
      <c r="G80" s="425">
        <v>0</v>
      </c>
      <c r="H80" s="425">
        <v>0</v>
      </c>
      <c r="I80" s="425">
        <v>0</v>
      </c>
      <c r="J80" s="425">
        <v>0</v>
      </c>
      <c r="K80" s="425">
        <f t="shared" si="76"/>
        <v>0</v>
      </c>
      <c r="L80" s="508">
        <f t="shared" si="77"/>
        <v>4000000</v>
      </c>
      <c r="M80" s="526">
        <v>758707.54</v>
      </c>
      <c r="N80" s="425">
        <v>49009.569999999949</v>
      </c>
      <c r="O80" s="425">
        <v>42500</v>
      </c>
      <c r="P80" s="425">
        <f t="shared" si="78"/>
        <v>43700</v>
      </c>
      <c r="Q80" s="527">
        <v>893917.11</v>
      </c>
      <c r="R80" s="516">
        <f t="shared" si="79"/>
        <v>3106082.89</v>
      </c>
      <c r="S80" s="469">
        <f t="shared" si="36"/>
        <v>0.22347927749999999</v>
      </c>
    </row>
    <row r="81" spans="1:21" s="11" customFormat="1" ht="28.8" x14ac:dyDescent="0.2">
      <c r="A81" s="472" t="s">
        <v>64</v>
      </c>
      <c r="B81" s="423" t="s">
        <v>365</v>
      </c>
      <c r="C81" s="424" t="s">
        <v>471</v>
      </c>
      <c r="D81" s="425">
        <v>201000000</v>
      </c>
      <c r="E81" s="425">
        <v>0</v>
      </c>
      <c r="F81" s="425">
        <v>0</v>
      </c>
      <c r="G81" s="425">
        <v>0</v>
      </c>
      <c r="H81" s="425">
        <v>0</v>
      </c>
      <c r="I81" s="425">
        <v>0</v>
      </c>
      <c r="J81" s="425">
        <v>0</v>
      </c>
      <c r="K81" s="425">
        <f t="shared" si="76"/>
        <v>0</v>
      </c>
      <c r="L81" s="508">
        <f t="shared" si="77"/>
        <v>201000000</v>
      </c>
      <c r="M81" s="526">
        <v>22383827.030000001</v>
      </c>
      <c r="N81" s="425">
        <v>7025155.7599999979</v>
      </c>
      <c r="O81" s="425">
        <v>7663510.9299999997</v>
      </c>
      <c r="P81" s="425">
        <f t="shared" si="78"/>
        <v>3156927.3000000045</v>
      </c>
      <c r="Q81" s="527">
        <v>40229421.020000003</v>
      </c>
      <c r="R81" s="516">
        <f t="shared" si="79"/>
        <v>160770578.97999999</v>
      </c>
      <c r="S81" s="469">
        <f t="shared" si="36"/>
        <v>0.20014637323383086</v>
      </c>
    </row>
    <row r="82" spans="1:21" s="16" customFormat="1" ht="14.4" x14ac:dyDescent="0.2">
      <c r="A82" s="472" t="s">
        <v>64</v>
      </c>
      <c r="B82" s="423" t="s">
        <v>366</v>
      </c>
      <c r="C82" s="424" t="s">
        <v>468</v>
      </c>
      <c r="D82" s="425">
        <v>2000000</v>
      </c>
      <c r="E82" s="425">
        <v>0</v>
      </c>
      <c r="F82" s="425">
        <v>0</v>
      </c>
      <c r="G82" s="425">
        <v>0</v>
      </c>
      <c r="H82" s="425">
        <v>0</v>
      </c>
      <c r="I82" s="425">
        <v>0</v>
      </c>
      <c r="J82" s="425">
        <v>0</v>
      </c>
      <c r="K82" s="425">
        <f t="shared" si="76"/>
        <v>0</v>
      </c>
      <c r="L82" s="508">
        <f t="shared" si="77"/>
        <v>2000000</v>
      </c>
      <c r="M82" s="526">
        <v>0</v>
      </c>
      <c r="N82" s="425">
        <v>0</v>
      </c>
      <c r="O82" s="425">
        <v>0</v>
      </c>
      <c r="P82" s="425">
        <f t="shared" si="78"/>
        <v>0</v>
      </c>
      <c r="Q82" s="527">
        <v>0</v>
      </c>
      <c r="R82" s="516">
        <f t="shared" si="79"/>
        <v>2000000</v>
      </c>
      <c r="S82" s="469">
        <f t="shared" si="36"/>
        <v>0</v>
      </c>
    </row>
    <row r="83" spans="1:21" s="16" customFormat="1" ht="14.4" x14ac:dyDescent="0.2">
      <c r="A83" s="437" t="s">
        <v>85</v>
      </c>
      <c r="B83" s="420" t="s">
        <v>367</v>
      </c>
      <c r="C83" s="654" t="s">
        <v>368</v>
      </c>
      <c r="D83" s="422">
        <f>SUM(D84)</f>
        <v>1800000</v>
      </c>
      <c r="E83" s="422">
        <f t="shared" ref="E83:R83" si="80">SUM(E84)</f>
        <v>0</v>
      </c>
      <c r="F83" s="422">
        <f t="shared" si="80"/>
        <v>0</v>
      </c>
      <c r="G83" s="422">
        <f t="shared" si="80"/>
        <v>0</v>
      </c>
      <c r="H83" s="422">
        <f t="shared" si="80"/>
        <v>0</v>
      </c>
      <c r="I83" s="422">
        <f t="shared" si="80"/>
        <v>0</v>
      </c>
      <c r="J83" s="422">
        <f t="shared" si="80"/>
        <v>0</v>
      </c>
      <c r="K83" s="422">
        <f t="shared" si="80"/>
        <v>0</v>
      </c>
      <c r="L83" s="507">
        <f t="shared" si="80"/>
        <v>1800000</v>
      </c>
      <c r="M83" s="524">
        <v>0</v>
      </c>
      <c r="N83" s="422">
        <v>0</v>
      </c>
      <c r="O83" s="422">
        <v>0</v>
      </c>
      <c r="P83" s="422">
        <f t="shared" si="80"/>
        <v>139742</v>
      </c>
      <c r="Q83" s="525">
        <f t="shared" si="80"/>
        <v>139742</v>
      </c>
      <c r="R83" s="515">
        <f t="shared" si="80"/>
        <v>1660258</v>
      </c>
      <c r="S83" s="468">
        <f t="shared" si="36"/>
        <v>7.763444444444445E-2</v>
      </c>
    </row>
    <row r="84" spans="1:21" s="11" customFormat="1" ht="14.4" x14ac:dyDescent="0.2">
      <c r="A84" s="471" t="s">
        <v>85</v>
      </c>
      <c r="B84" s="423" t="s">
        <v>369</v>
      </c>
      <c r="C84" s="424" t="s">
        <v>86</v>
      </c>
      <c r="D84" s="425">
        <v>1800000</v>
      </c>
      <c r="E84" s="425">
        <v>0</v>
      </c>
      <c r="F84" s="425">
        <v>0</v>
      </c>
      <c r="G84" s="425">
        <v>0</v>
      </c>
      <c r="H84" s="425">
        <v>0</v>
      </c>
      <c r="I84" s="425">
        <v>0</v>
      </c>
      <c r="J84" s="425">
        <v>0</v>
      </c>
      <c r="K84" s="425">
        <f>SUM(E84:J84)</f>
        <v>0</v>
      </c>
      <c r="L84" s="508">
        <f>D84+K84</f>
        <v>1800000</v>
      </c>
      <c r="M84" s="526">
        <v>0</v>
      </c>
      <c r="N84" s="425">
        <v>0</v>
      </c>
      <c r="O84" s="425">
        <v>0</v>
      </c>
      <c r="P84" s="425">
        <f t="shared" ref="P84" si="81">Q84-M84-N84-O84</f>
        <v>139742</v>
      </c>
      <c r="Q84" s="527">
        <v>139742</v>
      </c>
      <c r="R84" s="516">
        <f>L84-Q84</f>
        <v>1660258</v>
      </c>
      <c r="S84" s="469">
        <f>Q84/L84</f>
        <v>7.763444444444445E-2</v>
      </c>
    </row>
    <row r="85" spans="1:21" s="11" customFormat="1" ht="14.4" x14ac:dyDescent="0.2">
      <c r="A85" s="432" t="s">
        <v>64</v>
      </c>
      <c r="B85" s="420" t="s">
        <v>370</v>
      </c>
      <c r="C85" s="654" t="s">
        <v>371</v>
      </c>
      <c r="D85" s="422">
        <f>SUM(D86:D87)</f>
        <v>2600000</v>
      </c>
      <c r="E85" s="422">
        <f t="shared" ref="E85:R85" si="82">SUM(E86:E87)</f>
        <v>0</v>
      </c>
      <c r="F85" s="422">
        <f t="shared" si="82"/>
        <v>0</v>
      </c>
      <c r="G85" s="422">
        <f t="shared" si="82"/>
        <v>0</v>
      </c>
      <c r="H85" s="422">
        <f t="shared" ref="H85:I85" si="83">SUM(H86:H87)</f>
        <v>0</v>
      </c>
      <c r="I85" s="422">
        <f t="shared" si="83"/>
        <v>0</v>
      </c>
      <c r="J85" s="422">
        <f t="shared" si="82"/>
        <v>0</v>
      </c>
      <c r="K85" s="422">
        <f t="shared" si="82"/>
        <v>0</v>
      </c>
      <c r="L85" s="507">
        <f t="shared" si="82"/>
        <v>2600000</v>
      </c>
      <c r="M85" s="524">
        <v>95281.600000000006</v>
      </c>
      <c r="N85" s="422">
        <v>0</v>
      </c>
      <c r="O85" s="422">
        <v>53604</v>
      </c>
      <c r="P85" s="422">
        <f t="shared" si="82"/>
        <v>300000</v>
      </c>
      <c r="Q85" s="525">
        <f t="shared" si="82"/>
        <v>448885.6</v>
      </c>
      <c r="R85" s="515">
        <f t="shared" si="82"/>
        <v>2151114.4</v>
      </c>
      <c r="S85" s="468">
        <f t="shared" si="36"/>
        <v>0.17264830769230768</v>
      </c>
    </row>
    <row r="86" spans="1:21" s="16" customFormat="1" ht="14.4" x14ac:dyDescent="0.2">
      <c r="A86" s="472" t="s">
        <v>64</v>
      </c>
      <c r="B86" s="423" t="s">
        <v>372</v>
      </c>
      <c r="C86" s="424" t="s">
        <v>87</v>
      </c>
      <c r="D86" s="425">
        <v>1100000</v>
      </c>
      <c r="E86" s="425">
        <v>0</v>
      </c>
      <c r="F86" s="425">
        <v>0</v>
      </c>
      <c r="G86" s="425">
        <v>0</v>
      </c>
      <c r="H86" s="425">
        <v>0</v>
      </c>
      <c r="I86" s="425">
        <v>0</v>
      </c>
      <c r="J86" s="425">
        <v>0</v>
      </c>
      <c r="K86" s="425">
        <f t="shared" ref="K86:K87" si="84">SUM(E86:J86)</f>
        <v>0</v>
      </c>
      <c r="L86" s="508">
        <f t="shared" ref="L86:L87" si="85">D86+K86</f>
        <v>1100000</v>
      </c>
      <c r="M86" s="526">
        <v>95281.600000000006</v>
      </c>
      <c r="N86" s="425">
        <v>0</v>
      </c>
      <c r="O86" s="425">
        <v>53604</v>
      </c>
      <c r="P86" s="425">
        <f t="shared" ref="P86:P87" si="86">Q86-M86-N86-O86</f>
        <v>0</v>
      </c>
      <c r="Q86" s="527">
        <v>148885.6</v>
      </c>
      <c r="R86" s="516">
        <f t="shared" ref="R86:R87" si="87">L86-Q86</f>
        <v>951114.4</v>
      </c>
      <c r="S86" s="469">
        <f t="shared" si="36"/>
        <v>0.13535054545454547</v>
      </c>
    </row>
    <row r="87" spans="1:21" s="16" customFormat="1" ht="14.4" x14ac:dyDescent="0.2">
      <c r="A87" s="472" t="s">
        <v>64</v>
      </c>
      <c r="B87" s="423" t="s">
        <v>373</v>
      </c>
      <c r="C87" s="424" t="s">
        <v>88</v>
      </c>
      <c r="D87" s="425">
        <v>1500000</v>
      </c>
      <c r="E87" s="425">
        <v>0</v>
      </c>
      <c r="F87" s="425">
        <v>0</v>
      </c>
      <c r="G87" s="425">
        <v>0</v>
      </c>
      <c r="H87" s="425">
        <v>0</v>
      </c>
      <c r="I87" s="425">
        <v>0</v>
      </c>
      <c r="J87" s="425">
        <v>0</v>
      </c>
      <c r="K87" s="425">
        <f t="shared" si="84"/>
        <v>0</v>
      </c>
      <c r="L87" s="508">
        <f t="shared" si="85"/>
        <v>1500000</v>
      </c>
      <c r="M87" s="526">
        <v>0</v>
      </c>
      <c r="N87" s="425">
        <v>0</v>
      </c>
      <c r="O87" s="425">
        <v>0</v>
      </c>
      <c r="P87" s="425">
        <f t="shared" si="86"/>
        <v>300000</v>
      </c>
      <c r="Q87" s="527">
        <v>300000</v>
      </c>
      <c r="R87" s="516">
        <f t="shared" si="87"/>
        <v>1200000</v>
      </c>
      <c r="S87" s="469">
        <f t="shared" si="36"/>
        <v>0.2</v>
      </c>
    </row>
    <row r="88" spans="1:21" s="16" customFormat="1" ht="14.4" x14ac:dyDescent="0.3">
      <c r="A88" s="432"/>
      <c r="B88" s="429"/>
      <c r="C88" s="421"/>
      <c r="D88" s="495"/>
      <c r="E88" s="495"/>
      <c r="F88" s="495"/>
      <c r="G88" s="495"/>
      <c r="H88" s="495"/>
      <c r="I88" s="495"/>
      <c r="J88" s="495"/>
      <c r="K88" s="495"/>
      <c r="L88" s="543"/>
      <c r="M88" s="649"/>
      <c r="N88" s="495"/>
      <c r="O88" s="495"/>
      <c r="P88" s="495"/>
      <c r="Q88" s="650"/>
      <c r="R88" s="544"/>
      <c r="S88" s="469"/>
    </row>
    <row r="89" spans="1:21" s="11" customFormat="1" ht="14.4" x14ac:dyDescent="0.2">
      <c r="A89" s="437" t="s">
        <v>64</v>
      </c>
      <c r="B89" s="439" t="s">
        <v>374</v>
      </c>
      <c r="C89" s="655" t="s">
        <v>375</v>
      </c>
      <c r="D89" s="441">
        <f t="shared" ref="D89:R89" si="88">SUM(D90+D95+D97+D104+D107)</f>
        <v>86060000</v>
      </c>
      <c r="E89" s="441">
        <f t="shared" si="88"/>
        <v>0</v>
      </c>
      <c r="F89" s="441">
        <f t="shared" si="88"/>
        <v>7200000</v>
      </c>
      <c r="G89" s="441">
        <f t="shared" si="88"/>
        <v>0</v>
      </c>
      <c r="H89" s="441">
        <f t="shared" ref="H89:I89" si="89">SUM(H90+H95+H97+H104+H107)</f>
        <v>0</v>
      </c>
      <c r="I89" s="441">
        <f t="shared" si="89"/>
        <v>0</v>
      </c>
      <c r="J89" s="441">
        <f t="shared" si="88"/>
        <v>0</v>
      </c>
      <c r="K89" s="441">
        <f t="shared" si="88"/>
        <v>7200000</v>
      </c>
      <c r="L89" s="510">
        <f t="shared" si="88"/>
        <v>93260000</v>
      </c>
      <c r="M89" s="530">
        <v>11682607.33</v>
      </c>
      <c r="N89" s="441">
        <v>1448560</v>
      </c>
      <c r="O89" s="441">
        <v>3646195.45</v>
      </c>
      <c r="P89" s="441">
        <f t="shared" si="88"/>
        <v>4652849.6799999988</v>
      </c>
      <c r="Q89" s="531">
        <f t="shared" si="88"/>
        <v>21430212.459999997</v>
      </c>
      <c r="R89" s="518">
        <f t="shared" si="88"/>
        <v>71829787.540000007</v>
      </c>
      <c r="S89" s="467">
        <f t="shared" si="36"/>
        <v>0.2297899684752305</v>
      </c>
    </row>
    <row r="90" spans="1:21" s="11" customFormat="1" ht="28.8" x14ac:dyDescent="0.2">
      <c r="A90" s="432" t="s">
        <v>64</v>
      </c>
      <c r="B90" s="420" t="s">
        <v>376</v>
      </c>
      <c r="C90" s="654" t="s">
        <v>377</v>
      </c>
      <c r="D90" s="422">
        <f>SUM(D91:D94)</f>
        <v>48700000</v>
      </c>
      <c r="E90" s="422">
        <f t="shared" ref="E90:R90" si="90">SUM(E91:E94)</f>
        <v>0</v>
      </c>
      <c r="F90" s="422">
        <f t="shared" si="90"/>
        <v>0</v>
      </c>
      <c r="G90" s="422">
        <f t="shared" si="90"/>
        <v>0</v>
      </c>
      <c r="H90" s="422">
        <f t="shared" ref="H90:I90" si="91">SUM(H91:H94)</f>
        <v>0</v>
      </c>
      <c r="I90" s="422">
        <f t="shared" si="91"/>
        <v>0</v>
      </c>
      <c r="J90" s="422">
        <f t="shared" si="90"/>
        <v>0</v>
      </c>
      <c r="K90" s="422">
        <f t="shared" si="90"/>
        <v>0</v>
      </c>
      <c r="L90" s="507">
        <f t="shared" si="90"/>
        <v>48700000</v>
      </c>
      <c r="M90" s="524">
        <v>9644995.3399999999</v>
      </c>
      <c r="N90" s="422">
        <v>1448560</v>
      </c>
      <c r="O90" s="422">
        <v>2070161.6900000004</v>
      </c>
      <c r="P90" s="422">
        <f t="shared" si="90"/>
        <v>2683560.2299999986</v>
      </c>
      <c r="Q90" s="525">
        <f t="shared" si="90"/>
        <v>15847277.259999998</v>
      </c>
      <c r="R90" s="515">
        <f t="shared" si="90"/>
        <v>32852722.740000002</v>
      </c>
      <c r="S90" s="468">
        <f t="shared" si="36"/>
        <v>0.32540610390143732</v>
      </c>
    </row>
    <row r="91" spans="1:21" s="16" customFormat="1" ht="14.4" x14ac:dyDescent="0.2">
      <c r="A91" s="472" t="s">
        <v>64</v>
      </c>
      <c r="B91" s="423" t="s">
        <v>378</v>
      </c>
      <c r="C91" s="424" t="s">
        <v>89</v>
      </c>
      <c r="D91" s="425">
        <v>31150000</v>
      </c>
      <c r="E91" s="425">
        <v>0</v>
      </c>
      <c r="F91" s="425">
        <v>0</v>
      </c>
      <c r="G91" s="425">
        <v>0</v>
      </c>
      <c r="H91" s="425">
        <v>0</v>
      </c>
      <c r="I91" s="425">
        <v>0</v>
      </c>
      <c r="J91" s="425">
        <v>0</v>
      </c>
      <c r="K91" s="425">
        <f t="shared" ref="K91:K94" si="92">SUM(E91:J91)</f>
        <v>0</v>
      </c>
      <c r="L91" s="508">
        <f t="shared" ref="L91:L94" si="93">D91+K91</f>
        <v>31150000</v>
      </c>
      <c r="M91" s="526">
        <v>5060498.5599999996</v>
      </c>
      <c r="N91" s="425">
        <v>1448560</v>
      </c>
      <c r="O91" s="425">
        <v>1890138.0000000009</v>
      </c>
      <c r="P91" s="425">
        <f t="shared" ref="P91:P94" si="94">Q91-M91-N91-O91</f>
        <v>2683560.2299999986</v>
      </c>
      <c r="Q91" s="527">
        <v>11082756.789999999</v>
      </c>
      <c r="R91" s="516">
        <f t="shared" ref="R91:R94" si="95">L91-Q91</f>
        <v>20067243.210000001</v>
      </c>
      <c r="S91" s="469">
        <f t="shared" ref="S91:S94" si="96">Q91/L91</f>
        <v>0.35578673483146067</v>
      </c>
    </row>
    <row r="92" spans="1:21" s="16" customFormat="1" ht="28.8" x14ac:dyDescent="0.2">
      <c r="A92" s="472" t="s">
        <v>64</v>
      </c>
      <c r="B92" s="423" t="s">
        <v>379</v>
      </c>
      <c r="C92" s="424" t="s">
        <v>380</v>
      </c>
      <c r="D92" s="425">
        <v>7000000</v>
      </c>
      <c r="E92" s="425">
        <v>0</v>
      </c>
      <c r="F92" s="425">
        <v>0</v>
      </c>
      <c r="G92" s="425">
        <v>0</v>
      </c>
      <c r="H92" s="425">
        <v>0</v>
      </c>
      <c r="I92" s="425">
        <v>0</v>
      </c>
      <c r="J92" s="425">
        <v>0</v>
      </c>
      <c r="K92" s="425">
        <f t="shared" si="92"/>
        <v>0</v>
      </c>
      <c r="L92" s="508">
        <f t="shared" si="93"/>
        <v>7000000</v>
      </c>
      <c r="M92" s="526">
        <v>0</v>
      </c>
      <c r="N92" s="425">
        <v>0</v>
      </c>
      <c r="O92" s="425">
        <v>0</v>
      </c>
      <c r="P92" s="425">
        <f t="shared" si="94"/>
        <v>0</v>
      </c>
      <c r="Q92" s="527">
        <v>0</v>
      </c>
      <c r="R92" s="516">
        <f t="shared" si="95"/>
        <v>7000000</v>
      </c>
      <c r="S92" s="469">
        <f t="shared" si="96"/>
        <v>0</v>
      </c>
    </row>
    <row r="93" spans="1:21" s="11" customFormat="1" ht="14.4" x14ac:dyDescent="0.2">
      <c r="A93" s="472" t="s">
        <v>64</v>
      </c>
      <c r="B93" s="423" t="s">
        <v>381</v>
      </c>
      <c r="C93" s="424" t="s">
        <v>90</v>
      </c>
      <c r="D93" s="425">
        <v>6300000</v>
      </c>
      <c r="E93" s="425">
        <v>0</v>
      </c>
      <c r="F93" s="425">
        <v>0</v>
      </c>
      <c r="G93" s="425">
        <v>0</v>
      </c>
      <c r="H93" s="425">
        <v>0</v>
      </c>
      <c r="I93" s="425">
        <v>0</v>
      </c>
      <c r="J93" s="425">
        <v>0</v>
      </c>
      <c r="K93" s="425">
        <f t="shared" si="92"/>
        <v>0</v>
      </c>
      <c r="L93" s="508">
        <f t="shared" si="93"/>
        <v>6300000</v>
      </c>
      <c r="M93" s="526">
        <v>4584496.78</v>
      </c>
      <c r="N93" s="425">
        <v>0</v>
      </c>
      <c r="O93" s="425">
        <v>180023.68999999948</v>
      </c>
      <c r="P93" s="425">
        <f t="shared" si="94"/>
        <v>0</v>
      </c>
      <c r="Q93" s="527">
        <v>4764520.47</v>
      </c>
      <c r="R93" s="516">
        <f t="shared" si="95"/>
        <v>1535479.5300000003</v>
      </c>
      <c r="S93" s="469">
        <f t="shared" si="96"/>
        <v>0.7562730904761904</v>
      </c>
    </row>
    <row r="94" spans="1:21" s="16" customFormat="1" ht="28.8" x14ac:dyDescent="0.2">
      <c r="A94" s="472" t="s">
        <v>64</v>
      </c>
      <c r="B94" s="423" t="s">
        <v>382</v>
      </c>
      <c r="C94" s="424" t="s">
        <v>91</v>
      </c>
      <c r="D94" s="425">
        <v>4250000</v>
      </c>
      <c r="E94" s="425">
        <v>0</v>
      </c>
      <c r="F94" s="425">
        <v>0</v>
      </c>
      <c r="G94" s="425">
        <v>0</v>
      </c>
      <c r="H94" s="425">
        <v>0</v>
      </c>
      <c r="I94" s="425">
        <v>0</v>
      </c>
      <c r="J94" s="425">
        <v>0</v>
      </c>
      <c r="K94" s="425">
        <f t="shared" si="92"/>
        <v>0</v>
      </c>
      <c r="L94" s="508">
        <f t="shared" si="93"/>
        <v>4250000</v>
      </c>
      <c r="M94" s="526">
        <v>0</v>
      </c>
      <c r="N94" s="425">
        <v>0</v>
      </c>
      <c r="O94" s="425">
        <v>0</v>
      </c>
      <c r="P94" s="425">
        <f t="shared" si="94"/>
        <v>0</v>
      </c>
      <c r="Q94" s="527">
        <v>0</v>
      </c>
      <c r="R94" s="516">
        <f t="shared" si="95"/>
        <v>4250000</v>
      </c>
      <c r="S94" s="469">
        <f t="shared" si="96"/>
        <v>0</v>
      </c>
    </row>
    <row r="95" spans="1:21" s="16" customFormat="1" ht="28.8" x14ac:dyDescent="0.2">
      <c r="A95" s="432" t="s">
        <v>64</v>
      </c>
      <c r="B95" s="420" t="s">
        <v>383</v>
      </c>
      <c r="C95" s="654" t="s">
        <v>475</v>
      </c>
      <c r="D95" s="422">
        <f>+D96</f>
        <v>0</v>
      </c>
      <c r="E95" s="422">
        <f t="shared" ref="E95:R95" si="97">SUM(E96:E96)</f>
        <v>0</v>
      </c>
      <c r="F95" s="422">
        <f t="shared" si="97"/>
        <v>0</v>
      </c>
      <c r="G95" s="422">
        <f t="shared" si="97"/>
        <v>0</v>
      </c>
      <c r="H95" s="422">
        <f t="shared" si="97"/>
        <v>0</v>
      </c>
      <c r="I95" s="422">
        <f t="shared" si="97"/>
        <v>0</v>
      </c>
      <c r="J95" s="422">
        <f t="shared" si="97"/>
        <v>0</v>
      </c>
      <c r="K95" s="422">
        <f t="shared" si="97"/>
        <v>0</v>
      </c>
      <c r="L95" s="507">
        <f t="shared" si="97"/>
        <v>0</v>
      </c>
      <c r="M95" s="524">
        <v>0</v>
      </c>
      <c r="N95" s="422">
        <v>0</v>
      </c>
      <c r="O95" s="422">
        <v>0</v>
      </c>
      <c r="P95" s="422">
        <f t="shared" si="97"/>
        <v>0</v>
      </c>
      <c r="Q95" s="525">
        <f t="shared" si="97"/>
        <v>0</v>
      </c>
      <c r="R95" s="515">
        <f t="shared" si="97"/>
        <v>0</v>
      </c>
      <c r="S95" s="468" t="e">
        <f t="shared" ref="S95:S96" si="98">Q95/L95</f>
        <v>#DIV/0!</v>
      </c>
    </row>
    <row r="96" spans="1:21" s="16" customFormat="1" ht="14.4" x14ac:dyDescent="0.2">
      <c r="A96" s="472" t="s">
        <v>64</v>
      </c>
      <c r="B96" s="423" t="s">
        <v>385</v>
      </c>
      <c r="C96" s="424" t="s">
        <v>92</v>
      </c>
      <c r="D96" s="425"/>
      <c r="E96" s="425">
        <v>0</v>
      </c>
      <c r="F96" s="425">
        <v>0</v>
      </c>
      <c r="G96" s="425">
        <v>0</v>
      </c>
      <c r="H96" s="425">
        <v>0</v>
      </c>
      <c r="I96" s="425">
        <v>0</v>
      </c>
      <c r="J96" s="425">
        <v>0</v>
      </c>
      <c r="K96" s="425">
        <f t="shared" ref="K96" si="99">SUM(E96:J96)</f>
        <v>0</v>
      </c>
      <c r="L96" s="508">
        <f t="shared" ref="L96" si="100">D96+K96</f>
        <v>0</v>
      </c>
      <c r="M96" s="526">
        <v>0</v>
      </c>
      <c r="N96" s="425">
        <v>0</v>
      </c>
      <c r="O96" s="425">
        <v>0</v>
      </c>
      <c r="P96" s="425">
        <f t="shared" ref="P96" si="101">Q96-M96-N96-O96</f>
        <v>0</v>
      </c>
      <c r="Q96" s="527">
        <v>0</v>
      </c>
      <c r="R96" s="516">
        <f>L96-Q96</f>
        <v>0</v>
      </c>
      <c r="S96" s="469" t="e">
        <f t="shared" si="98"/>
        <v>#DIV/0!</v>
      </c>
      <c r="U96" s="17"/>
    </row>
    <row r="97" spans="1:19" s="11" customFormat="1" ht="28.8" x14ac:dyDescent="0.2">
      <c r="A97" s="432" t="s">
        <v>64</v>
      </c>
      <c r="B97" s="420" t="s">
        <v>386</v>
      </c>
      <c r="C97" s="654" t="s">
        <v>476</v>
      </c>
      <c r="D97" s="422">
        <f>SUM(D98:D103)</f>
        <v>4310000</v>
      </c>
      <c r="E97" s="422">
        <f t="shared" ref="E97:R97" si="102">SUM(E98:E103)</f>
        <v>0</v>
      </c>
      <c r="F97" s="422">
        <f t="shared" si="102"/>
        <v>0</v>
      </c>
      <c r="G97" s="422">
        <f t="shared" si="102"/>
        <v>0</v>
      </c>
      <c r="H97" s="422">
        <f t="shared" ref="H97:I97" si="103">SUM(H98:H103)</f>
        <v>0</v>
      </c>
      <c r="I97" s="422">
        <f t="shared" si="103"/>
        <v>0</v>
      </c>
      <c r="J97" s="422">
        <f t="shared" si="102"/>
        <v>0</v>
      </c>
      <c r="K97" s="422">
        <f t="shared" si="102"/>
        <v>0</v>
      </c>
      <c r="L97" s="507">
        <f t="shared" si="102"/>
        <v>4310000</v>
      </c>
      <c r="M97" s="524">
        <v>0</v>
      </c>
      <c r="N97" s="422">
        <v>0</v>
      </c>
      <c r="O97" s="422">
        <v>67199.8</v>
      </c>
      <c r="P97" s="422">
        <f t="shared" si="102"/>
        <v>265174.99</v>
      </c>
      <c r="Q97" s="525">
        <f t="shared" si="102"/>
        <v>332374.78999999998</v>
      </c>
      <c r="R97" s="515">
        <f t="shared" si="102"/>
        <v>3977625.21</v>
      </c>
      <c r="S97" s="468">
        <f>Q96/L97</f>
        <v>0</v>
      </c>
    </row>
    <row r="98" spans="1:19" s="11" customFormat="1" ht="28.8" x14ac:dyDescent="0.2">
      <c r="A98" s="472" t="s">
        <v>64</v>
      </c>
      <c r="B98" s="423" t="s">
        <v>387</v>
      </c>
      <c r="C98" s="424" t="s">
        <v>93</v>
      </c>
      <c r="D98" s="425">
        <v>550000</v>
      </c>
      <c r="E98" s="425">
        <v>0</v>
      </c>
      <c r="F98" s="425">
        <v>0</v>
      </c>
      <c r="G98" s="425">
        <v>0</v>
      </c>
      <c r="H98" s="425">
        <v>0</v>
      </c>
      <c r="I98" s="425">
        <v>0</v>
      </c>
      <c r="J98" s="425">
        <v>0</v>
      </c>
      <c r="K98" s="425">
        <f t="shared" ref="K98:K103" si="104">SUM(E98:J98)</f>
        <v>0</v>
      </c>
      <c r="L98" s="508">
        <f t="shared" ref="L98:L103" si="105">D98+K98</f>
        <v>550000</v>
      </c>
      <c r="M98" s="526">
        <v>0</v>
      </c>
      <c r="N98" s="425">
        <v>0</v>
      </c>
      <c r="O98" s="425">
        <v>23920</v>
      </c>
      <c r="P98" s="425">
        <f t="shared" ref="P98:P103" si="106">Q98-M98-N98-O98</f>
        <v>0</v>
      </c>
      <c r="Q98" s="527">
        <v>23920</v>
      </c>
      <c r="R98" s="516">
        <f t="shared" ref="R98:R103" si="107">L98-Q98</f>
        <v>526080</v>
      </c>
      <c r="S98" s="469">
        <f t="shared" ref="S98:S103" si="108">Q98/L98</f>
        <v>4.3490909090909094E-2</v>
      </c>
    </row>
    <row r="99" spans="1:19" s="16" customFormat="1" ht="14.4" x14ac:dyDescent="0.2">
      <c r="A99" s="472" t="s">
        <v>64</v>
      </c>
      <c r="B99" s="423" t="s">
        <v>388</v>
      </c>
      <c r="C99" s="424" t="s">
        <v>94</v>
      </c>
      <c r="D99" s="425">
        <v>150000</v>
      </c>
      <c r="E99" s="425">
        <v>0</v>
      </c>
      <c r="F99" s="425">
        <v>0</v>
      </c>
      <c r="G99" s="425">
        <v>0</v>
      </c>
      <c r="H99" s="425">
        <v>0</v>
      </c>
      <c r="I99" s="425">
        <v>0</v>
      </c>
      <c r="J99" s="425">
        <v>0</v>
      </c>
      <c r="K99" s="425">
        <f t="shared" si="104"/>
        <v>0</v>
      </c>
      <c r="L99" s="508">
        <f t="shared" si="105"/>
        <v>150000</v>
      </c>
      <c r="M99" s="526">
        <v>0</v>
      </c>
      <c r="N99" s="425">
        <v>0</v>
      </c>
      <c r="O99" s="425">
        <v>23550</v>
      </c>
      <c r="P99" s="425">
        <f t="shared" si="106"/>
        <v>0</v>
      </c>
      <c r="Q99" s="527">
        <v>23550</v>
      </c>
      <c r="R99" s="516">
        <f t="shared" si="107"/>
        <v>126450</v>
      </c>
      <c r="S99" s="469">
        <f t="shared" si="108"/>
        <v>0.157</v>
      </c>
    </row>
    <row r="100" spans="1:19" s="11" customFormat="1" ht="28.8" x14ac:dyDescent="0.2">
      <c r="A100" s="472" t="s">
        <v>64</v>
      </c>
      <c r="B100" s="423" t="s">
        <v>389</v>
      </c>
      <c r="C100" s="424" t="s">
        <v>472</v>
      </c>
      <c r="D100" s="425">
        <v>3010000</v>
      </c>
      <c r="E100" s="425">
        <v>0</v>
      </c>
      <c r="F100" s="425">
        <v>0</v>
      </c>
      <c r="G100" s="425">
        <v>0</v>
      </c>
      <c r="H100" s="425">
        <v>0</v>
      </c>
      <c r="I100" s="425">
        <v>0</v>
      </c>
      <c r="J100" s="425">
        <v>0</v>
      </c>
      <c r="K100" s="425">
        <f t="shared" si="104"/>
        <v>0</v>
      </c>
      <c r="L100" s="508">
        <f t="shared" si="105"/>
        <v>3010000</v>
      </c>
      <c r="M100" s="526">
        <v>0</v>
      </c>
      <c r="N100" s="425">
        <v>0</v>
      </c>
      <c r="O100" s="425">
        <v>19729.8</v>
      </c>
      <c r="P100" s="425">
        <f t="shared" si="106"/>
        <v>227175</v>
      </c>
      <c r="Q100" s="527">
        <v>246904.8</v>
      </c>
      <c r="R100" s="516">
        <f t="shared" si="107"/>
        <v>2763095.2</v>
      </c>
      <c r="S100" s="469">
        <f t="shared" si="108"/>
        <v>8.2028172757475079E-2</v>
      </c>
    </row>
    <row r="101" spans="1:19" s="16" customFormat="1" ht="28.8" x14ac:dyDescent="0.2">
      <c r="A101" s="472" t="s">
        <v>64</v>
      </c>
      <c r="B101" s="423" t="s">
        <v>390</v>
      </c>
      <c r="C101" s="424" t="s">
        <v>95</v>
      </c>
      <c r="D101" s="425">
        <v>100000</v>
      </c>
      <c r="E101" s="425">
        <v>0</v>
      </c>
      <c r="F101" s="425">
        <v>0</v>
      </c>
      <c r="G101" s="425">
        <v>0</v>
      </c>
      <c r="H101" s="425">
        <v>0</v>
      </c>
      <c r="I101" s="425">
        <v>0</v>
      </c>
      <c r="J101" s="425">
        <v>0</v>
      </c>
      <c r="K101" s="425">
        <f t="shared" si="104"/>
        <v>0</v>
      </c>
      <c r="L101" s="508">
        <f t="shared" si="105"/>
        <v>100000</v>
      </c>
      <c r="M101" s="526">
        <v>0</v>
      </c>
      <c r="N101" s="425">
        <v>0</v>
      </c>
      <c r="O101" s="425">
        <v>0</v>
      </c>
      <c r="P101" s="425">
        <f t="shared" si="106"/>
        <v>0</v>
      </c>
      <c r="Q101" s="527">
        <v>0</v>
      </c>
      <c r="R101" s="516">
        <f t="shared" si="107"/>
        <v>100000</v>
      </c>
      <c r="S101" s="469">
        <f t="shared" si="108"/>
        <v>0</v>
      </c>
    </row>
    <row r="102" spans="1:19" s="16" customFormat="1" ht="28.8" x14ac:dyDescent="0.2">
      <c r="A102" s="472" t="s">
        <v>64</v>
      </c>
      <c r="B102" s="423" t="s">
        <v>391</v>
      </c>
      <c r="C102" s="424" t="s">
        <v>96</v>
      </c>
      <c r="D102" s="425">
        <v>300000</v>
      </c>
      <c r="E102" s="425">
        <v>0</v>
      </c>
      <c r="F102" s="425">
        <v>0</v>
      </c>
      <c r="G102" s="425">
        <v>0</v>
      </c>
      <c r="H102" s="425">
        <v>0</v>
      </c>
      <c r="I102" s="425">
        <v>0</v>
      </c>
      <c r="J102" s="425">
        <v>0</v>
      </c>
      <c r="K102" s="425">
        <f t="shared" si="104"/>
        <v>0</v>
      </c>
      <c r="L102" s="508">
        <f t="shared" si="105"/>
        <v>300000</v>
      </c>
      <c r="M102" s="526">
        <v>0</v>
      </c>
      <c r="N102" s="425">
        <v>0</v>
      </c>
      <c r="O102" s="425">
        <v>0</v>
      </c>
      <c r="P102" s="425">
        <f t="shared" si="106"/>
        <v>37999.99</v>
      </c>
      <c r="Q102" s="527">
        <v>37999.99</v>
      </c>
      <c r="R102" s="516">
        <f t="shared" si="107"/>
        <v>262000.01</v>
      </c>
      <c r="S102" s="469">
        <f t="shared" si="108"/>
        <v>0.12666663333333333</v>
      </c>
    </row>
    <row r="103" spans="1:19" s="16" customFormat="1" ht="28.8" x14ac:dyDescent="0.2">
      <c r="A103" s="472" t="s">
        <v>64</v>
      </c>
      <c r="B103" s="423" t="s">
        <v>392</v>
      </c>
      <c r="C103" s="424" t="s">
        <v>473</v>
      </c>
      <c r="D103" s="425">
        <v>200000</v>
      </c>
      <c r="E103" s="425">
        <v>0</v>
      </c>
      <c r="F103" s="425">
        <v>0</v>
      </c>
      <c r="G103" s="425">
        <v>0</v>
      </c>
      <c r="H103" s="425">
        <v>0</v>
      </c>
      <c r="I103" s="425">
        <v>0</v>
      </c>
      <c r="J103" s="425">
        <v>0</v>
      </c>
      <c r="K103" s="425">
        <f t="shared" si="104"/>
        <v>0</v>
      </c>
      <c r="L103" s="508">
        <f t="shared" si="105"/>
        <v>200000</v>
      </c>
      <c r="M103" s="526">
        <v>0</v>
      </c>
      <c r="N103" s="425">
        <v>0</v>
      </c>
      <c r="O103" s="425">
        <v>0</v>
      </c>
      <c r="P103" s="425">
        <f t="shared" si="106"/>
        <v>0</v>
      </c>
      <c r="Q103" s="527">
        <v>0</v>
      </c>
      <c r="R103" s="516">
        <f t="shared" si="107"/>
        <v>200000</v>
      </c>
      <c r="S103" s="469">
        <f t="shared" si="108"/>
        <v>0</v>
      </c>
    </row>
    <row r="104" spans="1:19" s="16" customFormat="1" ht="28.8" x14ac:dyDescent="0.2">
      <c r="A104" s="432" t="s">
        <v>64</v>
      </c>
      <c r="B104" s="420" t="s">
        <v>393</v>
      </c>
      <c r="C104" s="654" t="s">
        <v>477</v>
      </c>
      <c r="D104" s="422">
        <f>SUM(D105:D106)</f>
        <v>3800000</v>
      </c>
      <c r="E104" s="422">
        <f t="shared" ref="E104:R104" si="109">SUM(E105:E106)</f>
        <v>0</v>
      </c>
      <c r="F104" s="422">
        <f t="shared" si="109"/>
        <v>0</v>
      </c>
      <c r="G104" s="422">
        <f t="shared" si="109"/>
        <v>0</v>
      </c>
      <c r="H104" s="422">
        <f t="shared" ref="H104:I104" si="110">SUM(H105:H106)</f>
        <v>0</v>
      </c>
      <c r="I104" s="422">
        <f t="shared" si="110"/>
        <v>0</v>
      </c>
      <c r="J104" s="422">
        <f t="shared" si="109"/>
        <v>0</v>
      </c>
      <c r="K104" s="422">
        <f t="shared" si="109"/>
        <v>0</v>
      </c>
      <c r="L104" s="507">
        <f t="shared" si="109"/>
        <v>3800000</v>
      </c>
      <c r="M104" s="524">
        <v>0</v>
      </c>
      <c r="N104" s="422">
        <v>0</v>
      </c>
      <c r="O104" s="422">
        <v>0</v>
      </c>
      <c r="P104" s="422">
        <f t="shared" si="109"/>
        <v>287499.94</v>
      </c>
      <c r="Q104" s="525">
        <f t="shared" si="109"/>
        <v>287499.94</v>
      </c>
      <c r="R104" s="515">
        <f t="shared" si="109"/>
        <v>3512500.06</v>
      </c>
      <c r="S104" s="468">
        <f t="shared" ref="S104:S123" si="111">Q104/L104</f>
        <v>7.5657878947368418E-2</v>
      </c>
    </row>
    <row r="105" spans="1:19" s="16" customFormat="1" ht="14.4" x14ac:dyDescent="0.2">
      <c r="A105" s="472" t="s">
        <v>64</v>
      </c>
      <c r="B105" s="423" t="s">
        <v>395</v>
      </c>
      <c r="C105" s="424" t="s">
        <v>97</v>
      </c>
      <c r="D105" s="425">
        <v>2300000</v>
      </c>
      <c r="E105" s="425">
        <v>0</v>
      </c>
      <c r="F105" s="425">
        <v>0</v>
      </c>
      <c r="G105" s="425">
        <v>0</v>
      </c>
      <c r="H105" s="425">
        <v>0</v>
      </c>
      <c r="I105" s="425">
        <v>0</v>
      </c>
      <c r="J105" s="425">
        <v>0</v>
      </c>
      <c r="K105" s="425">
        <f t="shared" ref="K105:K106" si="112">SUM(E105:J105)</f>
        <v>0</v>
      </c>
      <c r="L105" s="508">
        <f t="shared" ref="L105:L106" si="113">D105+K105</f>
        <v>2300000</v>
      </c>
      <c r="M105" s="526">
        <v>0</v>
      </c>
      <c r="N105" s="425">
        <v>0</v>
      </c>
      <c r="O105" s="425">
        <v>0</v>
      </c>
      <c r="P105" s="425">
        <f t="shared" ref="P105:P106" si="114">Q105-M105-N105-O105</f>
        <v>287499.94</v>
      </c>
      <c r="Q105" s="527">
        <v>287499.94</v>
      </c>
      <c r="R105" s="516">
        <f t="shared" ref="R105:R106" si="115">L105-Q105</f>
        <v>2012500.06</v>
      </c>
      <c r="S105" s="469">
        <f t="shared" si="111"/>
        <v>0.12499997391304347</v>
      </c>
    </row>
    <row r="106" spans="1:19" s="16" customFormat="1" ht="14.4" x14ac:dyDescent="0.2">
      <c r="A106" s="472" t="s">
        <v>64</v>
      </c>
      <c r="B106" s="423" t="s">
        <v>396</v>
      </c>
      <c r="C106" s="424" t="s">
        <v>98</v>
      </c>
      <c r="D106" s="425">
        <v>1500000</v>
      </c>
      <c r="E106" s="425">
        <v>0</v>
      </c>
      <c r="F106" s="425">
        <v>0</v>
      </c>
      <c r="G106" s="425">
        <v>0</v>
      </c>
      <c r="H106" s="425">
        <v>0</v>
      </c>
      <c r="I106" s="425">
        <v>0</v>
      </c>
      <c r="J106" s="425">
        <v>0</v>
      </c>
      <c r="K106" s="425">
        <f t="shared" si="112"/>
        <v>0</v>
      </c>
      <c r="L106" s="508">
        <f t="shared" si="113"/>
        <v>1500000</v>
      </c>
      <c r="M106" s="526">
        <v>0</v>
      </c>
      <c r="N106" s="425">
        <v>0</v>
      </c>
      <c r="O106" s="425">
        <v>0</v>
      </c>
      <c r="P106" s="425">
        <f t="shared" si="114"/>
        <v>0</v>
      </c>
      <c r="Q106" s="527">
        <v>0</v>
      </c>
      <c r="R106" s="516">
        <f t="shared" si="115"/>
        <v>1500000</v>
      </c>
      <c r="S106" s="469">
        <f t="shared" si="111"/>
        <v>0</v>
      </c>
    </row>
    <row r="107" spans="1:19" s="16" customFormat="1" ht="28.8" x14ac:dyDescent="0.2">
      <c r="A107" s="432" t="s">
        <v>64</v>
      </c>
      <c r="B107" s="430">
        <v>299</v>
      </c>
      <c r="C107" s="654" t="s">
        <v>474</v>
      </c>
      <c r="D107" s="422">
        <f>SUM(D108:D115)</f>
        <v>29250000</v>
      </c>
      <c r="E107" s="422">
        <f t="shared" ref="E107:R107" si="116">SUM(E108:E115)</f>
        <v>0</v>
      </c>
      <c r="F107" s="422">
        <f t="shared" si="116"/>
        <v>7200000</v>
      </c>
      <c r="G107" s="422">
        <f t="shared" si="116"/>
        <v>0</v>
      </c>
      <c r="H107" s="422">
        <f t="shared" ref="H107:I107" si="117">SUM(H108:H115)</f>
        <v>0</v>
      </c>
      <c r="I107" s="422">
        <f t="shared" si="117"/>
        <v>0</v>
      </c>
      <c r="J107" s="422">
        <f t="shared" si="116"/>
        <v>0</v>
      </c>
      <c r="K107" s="422">
        <f t="shared" si="116"/>
        <v>7200000</v>
      </c>
      <c r="L107" s="507">
        <f t="shared" si="116"/>
        <v>36450000</v>
      </c>
      <c r="M107" s="524">
        <v>2037611.99</v>
      </c>
      <c r="N107" s="422">
        <v>0</v>
      </c>
      <c r="O107" s="422">
        <v>1508833.9599999997</v>
      </c>
      <c r="P107" s="422">
        <f t="shared" si="116"/>
        <v>1416614.52</v>
      </c>
      <c r="Q107" s="525">
        <f t="shared" si="116"/>
        <v>4963060.47</v>
      </c>
      <c r="R107" s="515">
        <f t="shared" si="116"/>
        <v>31486939.530000001</v>
      </c>
      <c r="S107" s="468">
        <f t="shared" si="111"/>
        <v>0.13616078106995885</v>
      </c>
    </row>
    <row r="108" spans="1:19" s="11" customFormat="1" ht="28.8" x14ac:dyDescent="0.2">
      <c r="A108" s="472" t="s">
        <v>64</v>
      </c>
      <c r="B108" s="423" t="s">
        <v>397</v>
      </c>
      <c r="C108" s="424" t="s">
        <v>99</v>
      </c>
      <c r="D108" s="425">
        <v>2000000</v>
      </c>
      <c r="E108" s="425">
        <v>0</v>
      </c>
      <c r="F108" s="425">
        <v>0</v>
      </c>
      <c r="G108" s="425">
        <v>0</v>
      </c>
      <c r="H108" s="425">
        <v>0</v>
      </c>
      <c r="I108" s="425">
        <v>0</v>
      </c>
      <c r="J108" s="425">
        <v>0</v>
      </c>
      <c r="K108" s="425">
        <f t="shared" ref="K108:K115" si="118">SUM(E108:J108)</f>
        <v>0</v>
      </c>
      <c r="L108" s="508">
        <f t="shared" ref="L108:L115" si="119">D108+K108</f>
        <v>2000000</v>
      </c>
      <c r="M108" s="526">
        <v>0</v>
      </c>
      <c r="N108" s="425">
        <v>0</v>
      </c>
      <c r="O108" s="425">
        <v>0</v>
      </c>
      <c r="P108" s="425">
        <f t="shared" ref="P108:P115" si="120">Q108-M108-N108-O108</f>
        <v>157591.32</v>
      </c>
      <c r="Q108" s="527">
        <v>157591.32</v>
      </c>
      <c r="R108" s="516">
        <f t="shared" ref="R108:R115" si="121">L108-Q108</f>
        <v>1842408.68</v>
      </c>
      <c r="S108" s="469">
        <f t="shared" si="111"/>
        <v>7.8795660000000003E-2</v>
      </c>
    </row>
    <row r="109" spans="1:19" s="16" customFormat="1" ht="28.8" x14ac:dyDescent="0.2">
      <c r="A109" s="472" t="s">
        <v>64</v>
      </c>
      <c r="B109" s="423" t="s">
        <v>398</v>
      </c>
      <c r="C109" s="424" t="s">
        <v>478</v>
      </c>
      <c r="D109" s="425">
        <v>6000000</v>
      </c>
      <c r="E109" s="425">
        <v>0</v>
      </c>
      <c r="F109" s="425">
        <v>0</v>
      </c>
      <c r="G109" s="425">
        <v>0</v>
      </c>
      <c r="H109" s="425">
        <v>0</v>
      </c>
      <c r="I109" s="425">
        <v>0</v>
      </c>
      <c r="J109" s="425">
        <v>0</v>
      </c>
      <c r="K109" s="425">
        <f t="shared" si="118"/>
        <v>0</v>
      </c>
      <c r="L109" s="508">
        <f t="shared" si="119"/>
        <v>6000000</v>
      </c>
      <c r="M109" s="526">
        <v>0</v>
      </c>
      <c r="N109" s="425">
        <v>0</v>
      </c>
      <c r="O109" s="425">
        <v>0</v>
      </c>
      <c r="P109" s="425">
        <f t="shared" si="120"/>
        <v>0</v>
      </c>
      <c r="Q109" s="527">
        <v>0</v>
      </c>
      <c r="R109" s="516">
        <f t="shared" si="121"/>
        <v>6000000</v>
      </c>
      <c r="S109" s="469">
        <f t="shared" si="111"/>
        <v>0</v>
      </c>
    </row>
    <row r="110" spans="1:19" s="11" customFormat="1" ht="28.8" x14ac:dyDescent="0.2">
      <c r="A110" s="472" t="s">
        <v>64</v>
      </c>
      <c r="B110" s="423" t="s">
        <v>399</v>
      </c>
      <c r="C110" s="424" t="s">
        <v>100</v>
      </c>
      <c r="D110" s="425">
        <v>11550000</v>
      </c>
      <c r="E110" s="425">
        <v>0</v>
      </c>
      <c r="F110" s="425">
        <v>7000000</v>
      </c>
      <c r="G110" s="425">
        <v>0</v>
      </c>
      <c r="H110" s="425">
        <v>0</v>
      </c>
      <c r="I110" s="425">
        <v>0</v>
      </c>
      <c r="J110" s="425">
        <v>0</v>
      </c>
      <c r="K110" s="425">
        <f t="shared" si="118"/>
        <v>7000000</v>
      </c>
      <c r="L110" s="508">
        <f t="shared" si="119"/>
        <v>18550000</v>
      </c>
      <c r="M110" s="526">
        <v>2037611.99</v>
      </c>
      <c r="N110" s="425">
        <v>0</v>
      </c>
      <c r="O110" s="425">
        <v>141726.05999999982</v>
      </c>
      <c r="P110" s="425">
        <f t="shared" si="120"/>
        <v>1125625</v>
      </c>
      <c r="Q110" s="527">
        <v>3304963.05</v>
      </c>
      <c r="R110" s="516">
        <f t="shared" si="121"/>
        <v>15245036.949999999</v>
      </c>
      <c r="S110" s="469">
        <f t="shared" si="111"/>
        <v>0.17816512398921833</v>
      </c>
    </row>
    <row r="111" spans="1:19" s="16" customFormat="1" ht="14.4" x14ac:dyDescent="0.2">
      <c r="A111" s="472" t="s">
        <v>64</v>
      </c>
      <c r="B111" s="423" t="s">
        <v>400</v>
      </c>
      <c r="C111" s="424" t="s">
        <v>101</v>
      </c>
      <c r="D111" s="425">
        <v>1800000</v>
      </c>
      <c r="E111" s="425">
        <v>0</v>
      </c>
      <c r="F111" s="425">
        <v>200000</v>
      </c>
      <c r="G111" s="425">
        <v>0</v>
      </c>
      <c r="H111" s="425">
        <v>0</v>
      </c>
      <c r="I111" s="425">
        <v>0</v>
      </c>
      <c r="J111" s="425">
        <v>0</v>
      </c>
      <c r="K111" s="425">
        <f t="shared" si="118"/>
        <v>200000</v>
      </c>
      <c r="L111" s="508">
        <f t="shared" si="119"/>
        <v>2000000</v>
      </c>
      <c r="M111" s="526">
        <v>0</v>
      </c>
      <c r="N111" s="425">
        <v>0</v>
      </c>
      <c r="O111" s="425">
        <v>1367107.9</v>
      </c>
      <c r="P111" s="425">
        <f t="shared" si="120"/>
        <v>82000</v>
      </c>
      <c r="Q111" s="527">
        <v>1449107.9</v>
      </c>
      <c r="R111" s="516">
        <f t="shared" si="121"/>
        <v>550892.10000000009</v>
      </c>
      <c r="S111" s="469">
        <f t="shared" si="111"/>
        <v>0.72455395</v>
      </c>
    </row>
    <row r="112" spans="1:19" s="16" customFormat="1" ht="14.4" x14ac:dyDescent="0.2">
      <c r="A112" s="472" t="s">
        <v>64</v>
      </c>
      <c r="B112" s="423" t="s">
        <v>401</v>
      </c>
      <c r="C112" s="424" t="s">
        <v>102</v>
      </c>
      <c r="D112" s="425">
        <v>50000</v>
      </c>
      <c r="E112" s="425">
        <v>0</v>
      </c>
      <c r="F112" s="425">
        <v>0</v>
      </c>
      <c r="G112" s="425">
        <v>0</v>
      </c>
      <c r="H112" s="425">
        <v>0</v>
      </c>
      <c r="I112" s="425">
        <v>0</v>
      </c>
      <c r="J112" s="425">
        <v>0</v>
      </c>
      <c r="K112" s="425">
        <f t="shared" si="118"/>
        <v>0</v>
      </c>
      <c r="L112" s="508">
        <f t="shared" si="119"/>
        <v>50000</v>
      </c>
      <c r="M112" s="526">
        <v>0</v>
      </c>
      <c r="N112" s="425">
        <v>0</v>
      </c>
      <c r="O112" s="425">
        <v>0</v>
      </c>
      <c r="P112" s="425">
        <f t="shared" si="120"/>
        <v>0</v>
      </c>
      <c r="Q112" s="527">
        <v>0</v>
      </c>
      <c r="R112" s="516">
        <f t="shared" si="121"/>
        <v>50000</v>
      </c>
      <c r="S112" s="469">
        <f t="shared" si="111"/>
        <v>0</v>
      </c>
    </row>
    <row r="113" spans="1:19" s="16" customFormat="1" ht="28.8" x14ac:dyDescent="0.2">
      <c r="A113" s="472" t="s">
        <v>64</v>
      </c>
      <c r="B113" s="423" t="s">
        <v>402</v>
      </c>
      <c r="C113" s="424" t="s">
        <v>403</v>
      </c>
      <c r="D113" s="425">
        <v>7550000</v>
      </c>
      <c r="E113" s="425">
        <v>0</v>
      </c>
      <c r="F113" s="425">
        <v>0</v>
      </c>
      <c r="G113" s="425">
        <v>0</v>
      </c>
      <c r="H113" s="425">
        <v>0</v>
      </c>
      <c r="I113" s="425">
        <v>0</v>
      </c>
      <c r="J113" s="425">
        <v>0</v>
      </c>
      <c r="K113" s="425">
        <f t="shared" si="118"/>
        <v>0</v>
      </c>
      <c r="L113" s="508">
        <f t="shared" si="119"/>
        <v>7550000</v>
      </c>
      <c r="M113" s="526">
        <v>0</v>
      </c>
      <c r="N113" s="425">
        <v>0</v>
      </c>
      <c r="O113" s="425">
        <v>0</v>
      </c>
      <c r="P113" s="425">
        <f t="shared" si="120"/>
        <v>0</v>
      </c>
      <c r="Q113" s="527">
        <v>0</v>
      </c>
      <c r="R113" s="516">
        <f t="shared" si="121"/>
        <v>7550000</v>
      </c>
      <c r="S113" s="469">
        <f t="shared" si="111"/>
        <v>0</v>
      </c>
    </row>
    <row r="114" spans="1:19" s="11" customFormat="1" ht="28.8" x14ac:dyDescent="0.2">
      <c r="A114" s="472" t="s">
        <v>64</v>
      </c>
      <c r="B114" s="423" t="s">
        <v>404</v>
      </c>
      <c r="C114" s="424" t="s">
        <v>103</v>
      </c>
      <c r="D114" s="425">
        <v>100000</v>
      </c>
      <c r="E114" s="425">
        <v>0</v>
      </c>
      <c r="F114" s="425">
        <v>0</v>
      </c>
      <c r="G114" s="425">
        <v>0</v>
      </c>
      <c r="H114" s="425">
        <v>0</v>
      </c>
      <c r="I114" s="425">
        <v>0</v>
      </c>
      <c r="J114" s="425">
        <v>0</v>
      </c>
      <c r="K114" s="425">
        <f t="shared" si="118"/>
        <v>0</v>
      </c>
      <c r="L114" s="508">
        <f t="shared" si="119"/>
        <v>100000</v>
      </c>
      <c r="M114" s="526">
        <v>0</v>
      </c>
      <c r="N114" s="425">
        <v>0</v>
      </c>
      <c r="O114" s="425">
        <v>0</v>
      </c>
      <c r="P114" s="425">
        <f t="shared" si="120"/>
        <v>33500</v>
      </c>
      <c r="Q114" s="527">
        <v>33500</v>
      </c>
      <c r="R114" s="516">
        <f t="shared" si="121"/>
        <v>66500</v>
      </c>
      <c r="S114" s="469">
        <f t="shared" si="111"/>
        <v>0.33500000000000002</v>
      </c>
    </row>
    <row r="115" spans="1:19" s="16" customFormat="1" ht="28.8" x14ac:dyDescent="0.2">
      <c r="A115" s="472" t="s">
        <v>64</v>
      </c>
      <c r="B115" s="423" t="s">
        <v>405</v>
      </c>
      <c r="C115" s="424" t="s">
        <v>479</v>
      </c>
      <c r="D115" s="425">
        <v>200000</v>
      </c>
      <c r="E115" s="425">
        <v>0</v>
      </c>
      <c r="F115" s="425">
        <v>0</v>
      </c>
      <c r="G115" s="425">
        <v>0</v>
      </c>
      <c r="H115" s="425">
        <v>0</v>
      </c>
      <c r="I115" s="425">
        <v>0</v>
      </c>
      <c r="J115" s="425">
        <v>0</v>
      </c>
      <c r="K115" s="425">
        <f t="shared" si="118"/>
        <v>0</v>
      </c>
      <c r="L115" s="508">
        <f t="shared" si="119"/>
        <v>200000</v>
      </c>
      <c r="M115" s="526">
        <v>0</v>
      </c>
      <c r="N115" s="425">
        <v>0</v>
      </c>
      <c r="O115" s="425">
        <v>0</v>
      </c>
      <c r="P115" s="425">
        <f t="shared" si="120"/>
        <v>17898.2</v>
      </c>
      <c r="Q115" s="527">
        <v>17898.2</v>
      </c>
      <c r="R115" s="516">
        <f t="shared" si="121"/>
        <v>182101.8</v>
      </c>
      <c r="S115" s="469">
        <f t="shared" si="111"/>
        <v>8.9491000000000001E-2</v>
      </c>
    </row>
    <row r="116" spans="1:19" s="16" customFormat="1" ht="14.4" x14ac:dyDescent="0.3">
      <c r="A116" s="492"/>
      <c r="B116" s="429"/>
      <c r="C116" s="421"/>
      <c r="D116" s="495"/>
      <c r="E116" s="495"/>
      <c r="F116" s="495"/>
      <c r="G116" s="495"/>
      <c r="H116" s="495"/>
      <c r="I116" s="495"/>
      <c r="J116" s="495"/>
      <c r="K116" s="495"/>
      <c r="L116" s="543"/>
      <c r="M116" s="649"/>
      <c r="N116" s="495"/>
      <c r="O116" s="495"/>
      <c r="P116" s="495"/>
      <c r="Q116" s="650"/>
      <c r="R116" s="544"/>
      <c r="S116" s="469"/>
    </row>
    <row r="117" spans="1:19" s="11" customFormat="1" ht="14.4" x14ac:dyDescent="0.2">
      <c r="A117" s="496"/>
      <c r="B117" s="439" t="s">
        <v>406</v>
      </c>
      <c r="C117" s="655" t="s">
        <v>104</v>
      </c>
      <c r="D117" s="441">
        <f>SUM(D118+D124+D126+D128)</f>
        <v>6355127182.0699997</v>
      </c>
      <c r="E117" s="441">
        <f t="shared" ref="E117:R117" si="122">SUM(E118+E124+E126+E128)</f>
        <v>94162000</v>
      </c>
      <c r="F117" s="441">
        <f t="shared" si="122"/>
        <v>34000000</v>
      </c>
      <c r="G117" s="441">
        <f t="shared" si="122"/>
        <v>0</v>
      </c>
      <c r="H117" s="441">
        <f t="shared" ref="H117:I117" si="123">SUM(H118+H124+H126+H128)</f>
        <v>0</v>
      </c>
      <c r="I117" s="441">
        <f t="shared" si="123"/>
        <v>0</v>
      </c>
      <c r="J117" s="441">
        <f t="shared" si="122"/>
        <v>0</v>
      </c>
      <c r="K117" s="441">
        <f t="shared" si="122"/>
        <v>128162000</v>
      </c>
      <c r="L117" s="510">
        <f t="shared" si="122"/>
        <v>6483289182.0699997</v>
      </c>
      <c r="M117" s="530">
        <v>150375276.37</v>
      </c>
      <c r="N117" s="441">
        <v>7191636.9500000011</v>
      </c>
      <c r="O117" s="441">
        <v>46025470.229999997</v>
      </c>
      <c r="P117" s="441">
        <f t="shared" si="122"/>
        <v>25017489.949999996</v>
      </c>
      <c r="Q117" s="531">
        <f t="shared" si="122"/>
        <v>228609873.5</v>
      </c>
      <c r="R117" s="518">
        <f t="shared" si="122"/>
        <v>6254679308.5699997</v>
      </c>
      <c r="S117" s="467">
        <f t="shared" si="111"/>
        <v>3.5261403136580265E-2</v>
      </c>
    </row>
    <row r="118" spans="1:19" s="16" customFormat="1" ht="28.8" x14ac:dyDescent="0.2">
      <c r="A118" s="432" t="s">
        <v>105</v>
      </c>
      <c r="B118" s="420" t="s">
        <v>407</v>
      </c>
      <c r="C118" s="654" t="s">
        <v>408</v>
      </c>
      <c r="D118" s="422">
        <f>SUM(D119:D123)</f>
        <v>262000000</v>
      </c>
      <c r="E118" s="422">
        <f t="shared" ref="E118:R118" si="124">SUM(E119:E123)</f>
        <v>0</v>
      </c>
      <c r="F118" s="422">
        <f t="shared" si="124"/>
        <v>0</v>
      </c>
      <c r="G118" s="422">
        <f t="shared" si="124"/>
        <v>0</v>
      </c>
      <c r="H118" s="422">
        <f t="shared" ref="H118:I118" si="125">SUM(H119:H123)</f>
        <v>0</v>
      </c>
      <c r="I118" s="422">
        <f t="shared" si="125"/>
        <v>0</v>
      </c>
      <c r="J118" s="422">
        <f t="shared" si="124"/>
        <v>0</v>
      </c>
      <c r="K118" s="422">
        <f t="shared" si="124"/>
        <v>0</v>
      </c>
      <c r="L118" s="507">
        <f t="shared" si="124"/>
        <v>262000000</v>
      </c>
      <c r="M118" s="524">
        <v>2151520</v>
      </c>
      <c r="N118" s="422">
        <v>164975.0299999998</v>
      </c>
      <c r="O118" s="422">
        <v>45260916.539999999</v>
      </c>
      <c r="P118" s="422">
        <f t="shared" si="124"/>
        <v>24593955.839999996</v>
      </c>
      <c r="Q118" s="525">
        <f t="shared" si="124"/>
        <v>72171367.409999996</v>
      </c>
      <c r="R118" s="515">
        <f t="shared" si="124"/>
        <v>189828632.59</v>
      </c>
      <c r="S118" s="469">
        <f t="shared" si="111"/>
        <v>0.27546323438931297</v>
      </c>
    </row>
    <row r="119" spans="1:19" s="16" customFormat="1" ht="14.4" x14ac:dyDescent="0.2">
      <c r="A119" s="492" t="s">
        <v>105</v>
      </c>
      <c r="B119" s="423" t="s">
        <v>409</v>
      </c>
      <c r="C119" s="424" t="s">
        <v>106</v>
      </c>
      <c r="D119" s="425">
        <v>53000000</v>
      </c>
      <c r="E119" s="425">
        <v>0</v>
      </c>
      <c r="F119" s="425">
        <v>0</v>
      </c>
      <c r="G119" s="425">
        <v>0</v>
      </c>
      <c r="H119" s="425">
        <v>0</v>
      </c>
      <c r="I119" s="425">
        <v>0</v>
      </c>
      <c r="J119" s="425">
        <v>0</v>
      </c>
      <c r="K119" s="425">
        <f t="shared" ref="K119:K123" si="126">SUM(E119:J119)</f>
        <v>0</v>
      </c>
      <c r="L119" s="508">
        <f t="shared" ref="L119:L123" si="127">D119+K119</f>
        <v>53000000</v>
      </c>
      <c r="M119" s="526">
        <v>0</v>
      </c>
      <c r="N119" s="425">
        <v>0</v>
      </c>
      <c r="O119" s="425">
        <v>0</v>
      </c>
      <c r="P119" s="425">
        <f t="shared" ref="P119:P123" si="128">Q119-M119-N119-O119</f>
        <v>0</v>
      </c>
      <c r="Q119" s="527">
        <v>0</v>
      </c>
      <c r="R119" s="516">
        <f t="shared" ref="R119:R123" si="129">L119-Q119</f>
        <v>53000000</v>
      </c>
      <c r="S119" s="469">
        <f t="shared" si="111"/>
        <v>0</v>
      </c>
    </row>
    <row r="120" spans="1:19" s="11" customFormat="1" ht="14.4" x14ac:dyDescent="0.2">
      <c r="A120" s="492" t="s">
        <v>105</v>
      </c>
      <c r="B120" s="423" t="s">
        <v>410</v>
      </c>
      <c r="C120" s="424" t="s">
        <v>107</v>
      </c>
      <c r="D120" s="425">
        <v>20000000</v>
      </c>
      <c r="E120" s="425">
        <v>0</v>
      </c>
      <c r="F120" s="425">
        <v>0</v>
      </c>
      <c r="G120" s="425">
        <v>0</v>
      </c>
      <c r="H120" s="425">
        <v>0</v>
      </c>
      <c r="I120" s="425">
        <v>0</v>
      </c>
      <c r="J120" s="425">
        <v>0</v>
      </c>
      <c r="K120" s="425">
        <f t="shared" si="126"/>
        <v>0</v>
      </c>
      <c r="L120" s="508">
        <f t="shared" si="127"/>
        <v>20000000</v>
      </c>
      <c r="M120" s="526">
        <v>2151520</v>
      </c>
      <c r="N120" s="425">
        <v>164975.0299999998</v>
      </c>
      <c r="O120" s="425">
        <v>0</v>
      </c>
      <c r="P120" s="425">
        <f t="shared" si="128"/>
        <v>0</v>
      </c>
      <c r="Q120" s="527">
        <v>2316495.0299999998</v>
      </c>
      <c r="R120" s="516">
        <f t="shared" si="129"/>
        <v>17683504.969999999</v>
      </c>
      <c r="S120" s="469">
        <f t="shared" si="111"/>
        <v>0.11582475149999999</v>
      </c>
    </row>
    <row r="121" spans="1:19" s="16" customFormat="1" ht="28.8" x14ac:dyDescent="0.2">
      <c r="A121" s="492" t="s">
        <v>105</v>
      </c>
      <c r="B121" s="423" t="s">
        <v>411</v>
      </c>
      <c r="C121" s="424" t="s">
        <v>412</v>
      </c>
      <c r="D121" s="425">
        <v>147000000</v>
      </c>
      <c r="E121" s="425">
        <v>0</v>
      </c>
      <c r="F121" s="425">
        <v>0</v>
      </c>
      <c r="G121" s="425">
        <v>0</v>
      </c>
      <c r="H121" s="425">
        <v>0</v>
      </c>
      <c r="I121" s="425">
        <v>0</v>
      </c>
      <c r="J121" s="425">
        <v>0</v>
      </c>
      <c r="K121" s="425">
        <f t="shared" si="126"/>
        <v>0</v>
      </c>
      <c r="L121" s="508">
        <f t="shared" si="127"/>
        <v>147000000</v>
      </c>
      <c r="M121" s="526">
        <v>0</v>
      </c>
      <c r="N121" s="425">
        <v>0</v>
      </c>
      <c r="O121" s="425">
        <v>45260916.539999999</v>
      </c>
      <c r="P121" s="425">
        <f t="shared" si="128"/>
        <v>24593955.839999996</v>
      </c>
      <c r="Q121" s="527">
        <v>69854872.379999995</v>
      </c>
      <c r="R121" s="516">
        <f t="shared" si="129"/>
        <v>77145127.620000005</v>
      </c>
      <c r="S121" s="469">
        <f t="shared" si="111"/>
        <v>0.47520321346938771</v>
      </c>
    </row>
    <row r="122" spans="1:19" s="16" customFormat="1" ht="28.8" x14ac:dyDescent="0.2">
      <c r="A122" s="492" t="s">
        <v>105</v>
      </c>
      <c r="B122" s="423" t="s">
        <v>413</v>
      </c>
      <c r="C122" s="424" t="s">
        <v>480</v>
      </c>
      <c r="D122" s="425">
        <v>2000000</v>
      </c>
      <c r="E122" s="425">
        <v>0</v>
      </c>
      <c r="F122" s="425">
        <v>0</v>
      </c>
      <c r="G122" s="425">
        <v>0</v>
      </c>
      <c r="H122" s="425">
        <v>0</v>
      </c>
      <c r="I122" s="425">
        <v>0</v>
      </c>
      <c r="J122" s="425">
        <v>0</v>
      </c>
      <c r="K122" s="425">
        <f t="shared" si="126"/>
        <v>0</v>
      </c>
      <c r="L122" s="508">
        <f t="shared" si="127"/>
        <v>2000000</v>
      </c>
      <c r="M122" s="526">
        <v>0</v>
      </c>
      <c r="N122" s="425">
        <v>0</v>
      </c>
      <c r="O122" s="425">
        <v>0</v>
      </c>
      <c r="P122" s="425">
        <f t="shared" si="128"/>
        <v>0</v>
      </c>
      <c r="Q122" s="527">
        <v>0</v>
      </c>
      <c r="R122" s="516">
        <f t="shared" si="129"/>
        <v>2000000</v>
      </c>
      <c r="S122" s="469">
        <f t="shared" si="111"/>
        <v>0</v>
      </c>
    </row>
    <row r="123" spans="1:19" s="16" customFormat="1" ht="28.8" x14ac:dyDescent="0.2">
      <c r="A123" s="492" t="s">
        <v>105</v>
      </c>
      <c r="B123" s="423" t="s">
        <v>414</v>
      </c>
      <c r="C123" s="424" t="s">
        <v>108</v>
      </c>
      <c r="D123" s="425">
        <v>40000000</v>
      </c>
      <c r="E123" s="425">
        <v>0</v>
      </c>
      <c r="F123" s="425">
        <v>0</v>
      </c>
      <c r="G123" s="425">
        <v>0</v>
      </c>
      <c r="H123" s="425">
        <v>0</v>
      </c>
      <c r="I123" s="425">
        <v>0</v>
      </c>
      <c r="J123" s="425">
        <v>0</v>
      </c>
      <c r="K123" s="425">
        <f t="shared" si="126"/>
        <v>0</v>
      </c>
      <c r="L123" s="508">
        <f t="shared" si="127"/>
        <v>40000000</v>
      </c>
      <c r="M123" s="526">
        <v>0</v>
      </c>
      <c r="N123" s="425">
        <v>0</v>
      </c>
      <c r="O123" s="425">
        <v>0</v>
      </c>
      <c r="P123" s="425">
        <f t="shared" si="128"/>
        <v>0</v>
      </c>
      <c r="Q123" s="527">
        <v>0</v>
      </c>
      <c r="R123" s="516">
        <f t="shared" si="129"/>
        <v>40000000</v>
      </c>
      <c r="S123" s="469">
        <f t="shared" si="111"/>
        <v>0</v>
      </c>
    </row>
    <row r="124" spans="1:19" s="16" customFormat="1" ht="28.8" x14ac:dyDescent="0.2">
      <c r="A124" s="432">
        <v>2.1</v>
      </c>
      <c r="B124" s="420" t="s">
        <v>415</v>
      </c>
      <c r="C124" s="654" t="s">
        <v>416</v>
      </c>
      <c r="D124" s="422">
        <f>SUM(D125)</f>
        <v>5462427182.0699997</v>
      </c>
      <c r="E124" s="422">
        <f t="shared" ref="E124:R124" si="130">SUM(E125)</f>
        <v>94162000</v>
      </c>
      <c r="F124" s="422">
        <f t="shared" si="130"/>
        <v>0</v>
      </c>
      <c r="G124" s="422">
        <f t="shared" si="130"/>
        <v>0</v>
      </c>
      <c r="H124" s="422">
        <f t="shared" si="130"/>
        <v>0</v>
      </c>
      <c r="I124" s="422">
        <f t="shared" si="130"/>
        <v>0</v>
      </c>
      <c r="J124" s="422">
        <f t="shared" si="130"/>
        <v>0</v>
      </c>
      <c r="K124" s="422">
        <f t="shared" si="130"/>
        <v>94162000</v>
      </c>
      <c r="L124" s="507">
        <f t="shared" si="130"/>
        <v>5556589182.0699997</v>
      </c>
      <c r="M124" s="524">
        <v>94161616.120000005</v>
      </c>
      <c r="N124" s="422">
        <v>0</v>
      </c>
      <c r="O124" s="422">
        <v>0</v>
      </c>
      <c r="P124" s="422">
        <f t="shared" si="130"/>
        <v>0</v>
      </c>
      <c r="Q124" s="525">
        <f t="shared" si="130"/>
        <v>94161616.120000005</v>
      </c>
      <c r="R124" s="515">
        <f t="shared" si="130"/>
        <v>5462427565.9499998</v>
      </c>
      <c r="S124" s="468">
        <f t="shared" ref="S124:S134" si="131">Q124/L124</f>
        <v>1.6945938062839103E-2</v>
      </c>
    </row>
    <row r="125" spans="1:19" s="16" customFormat="1" ht="14.4" x14ac:dyDescent="0.2">
      <c r="A125" s="492" t="s">
        <v>109</v>
      </c>
      <c r="B125" s="423" t="s">
        <v>417</v>
      </c>
      <c r="C125" s="424" t="s">
        <v>110</v>
      </c>
      <c r="D125" s="425">
        <v>5462427182.0699997</v>
      </c>
      <c r="E125" s="425">
        <v>94162000</v>
      </c>
      <c r="F125" s="425">
        <v>0</v>
      </c>
      <c r="G125" s="425">
        <v>0</v>
      </c>
      <c r="H125" s="425">
        <v>0</v>
      </c>
      <c r="I125" s="425">
        <v>0</v>
      </c>
      <c r="J125" s="425">
        <v>0</v>
      </c>
      <c r="K125" s="425">
        <f>SUM(E125:J125)</f>
        <v>94162000</v>
      </c>
      <c r="L125" s="508">
        <f>D125+K125</f>
        <v>5556589182.0699997</v>
      </c>
      <c r="M125" s="526">
        <v>94161616.120000005</v>
      </c>
      <c r="N125" s="425">
        <v>0</v>
      </c>
      <c r="O125" s="425">
        <v>0</v>
      </c>
      <c r="P125" s="425">
        <f t="shared" ref="P125" si="132">Q125-M125-N125-O125</f>
        <v>0</v>
      </c>
      <c r="Q125" s="527">
        <v>94161616.120000005</v>
      </c>
      <c r="R125" s="516">
        <f>L125-Q125</f>
        <v>5462427565.9499998</v>
      </c>
      <c r="S125" s="469">
        <f>Q125/L125</f>
        <v>1.6945938062839103E-2</v>
      </c>
    </row>
    <row r="126" spans="1:19" s="16" customFormat="1" ht="14.4" x14ac:dyDescent="0.2">
      <c r="A126" s="432" t="s">
        <v>448</v>
      </c>
      <c r="B126" s="420" t="s">
        <v>418</v>
      </c>
      <c r="C126" s="654" t="s">
        <v>419</v>
      </c>
      <c r="D126" s="422">
        <f>SUM(D127)</f>
        <v>0</v>
      </c>
      <c r="E126" s="422">
        <f t="shared" ref="E126:R126" si="133">SUM(E127)</f>
        <v>0</v>
      </c>
      <c r="F126" s="422">
        <f t="shared" si="133"/>
        <v>0</v>
      </c>
      <c r="G126" s="422">
        <f t="shared" si="133"/>
        <v>0</v>
      </c>
      <c r="H126" s="422">
        <f t="shared" si="133"/>
        <v>0</v>
      </c>
      <c r="I126" s="422">
        <f t="shared" si="133"/>
        <v>0</v>
      </c>
      <c r="J126" s="422">
        <f t="shared" si="133"/>
        <v>0</v>
      </c>
      <c r="K126" s="422">
        <f t="shared" si="133"/>
        <v>0</v>
      </c>
      <c r="L126" s="507">
        <f t="shared" si="133"/>
        <v>0</v>
      </c>
      <c r="M126" s="524">
        <v>0</v>
      </c>
      <c r="N126" s="422">
        <v>0</v>
      </c>
      <c r="O126" s="422">
        <v>0</v>
      </c>
      <c r="P126" s="422">
        <f t="shared" si="133"/>
        <v>0</v>
      </c>
      <c r="Q126" s="525">
        <f t="shared" si="133"/>
        <v>0</v>
      </c>
      <c r="R126" s="515">
        <f t="shared" si="133"/>
        <v>0</v>
      </c>
      <c r="S126" s="469" t="e">
        <f t="shared" si="131"/>
        <v>#DIV/0!</v>
      </c>
    </row>
    <row r="127" spans="1:19" s="16" customFormat="1" ht="14.4" x14ac:dyDescent="0.2">
      <c r="A127" s="492" t="s">
        <v>448</v>
      </c>
      <c r="B127" s="423" t="s">
        <v>420</v>
      </c>
      <c r="C127" s="424" t="s">
        <v>111</v>
      </c>
      <c r="D127" s="425">
        <v>0</v>
      </c>
      <c r="E127" s="425">
        <v>0</v>
      </c>
      <c r="F127" s="425">
        <v>0</v>
      </c>
      <c r="G127" s="425">
        <v>0</v>
      </c>
      <c r="H127" s="425">
        <v>0</v>
      </c>
      <c r="I127" s="425">
        <v>0</v>
      </c>
      <c r="J127" s="425">
        <v>0</v>
      </c>
      <c r="K127" s="425">
        <f>SUM(E127:J127)</f>
        <v>0</v>
      </c>
      <c r="L127" s="508">
        <f>D127+K127</f>
        <v>0</v>
      </c>
      <c r="M127" s="526">
        <v>0</v>
      </c>
      <c r="N127" s="425">
        <v>0</v>
      </c>
      <c r="O127" s="425">
        <v>0</v>
      </c>
      <c r="P127" s="425">
        <f t="shared" ref="P127" si="134">Q127-M127-N127-O127</f>
        <v>0</v>
      </c>
      <c r="Q127" s="527">
        <v>0</v>
      </c>
      <c r="R127" s="516">
        <f>L127-Q127</f>
        <v>0</v>
      </c>
      <c r="S127" s="469" t="e">
        <f>Q127/L127</f>
        <v>#DIV/0!</v>
      </c>
    </row>
    <row r="128" spans="1:19" s="16" customFormat="1" ht="28.8" x14ac:dyDescent="0.3">
      <c r="A128" s="432" t="s">
        <v>112</v>
      </c>
      <c r="B128" s="420" t="s">
        <v>421</v>
      </c>
      <c r="C128" s="654" t="s">
        <v>422</v>
      </c>
      <c r="D128" s="431">
        <f>SUM(D129)</f>
        <v>630700000</v>
      </c>
      <c r="E128" s="431">
        <f t="shared" ref="E128:R128" si="135">SUM(E129)</f>
        <v>0</v>
      </c>
      <c r="F128" s="431">
        <f t="shared" si="135"/>
        <v>34000000</v>
      </c>
      <c r="G128" s="431">
        <f t="shared" si="135"/>
        <v>0</v>
      </c>
      <c r="H128" s="431">
        <f t="shared" si="135"/>
        <v>0</v>
      </c>
      <c r="I128" s="431">
        <f t="shared" si="135"/>
        <v>0</v>
      </c>
      <c r="J128" s="431">
        <f t="shared" si="135"/>
        <v>0</v>
      </c>
      <c r="K128" s="431">
        <f t="shared" si="135"/>
        <v>34000000</v>
      </c>
      <c r="L128" s="511">
        <f t="shared" si="135"/>
        <v>664700000</v>
      </c>
      <c r="M128" s="651">
        <v>54062140.25</v>
      </c>
      <c r="N128" s="431">
        <v>7026661.9200000018</v>
      </c>
      <c r="O128" s="431">
        <v>764553.68999999762</v>
      </c>
      <c r="P128" s="431">
        <f t="shared" si="135"/>
        <v>423534.1099999994</v>
      </c>
      <c r="Q128" s="652">
        <f t="shared" si="135"/>
        <v>62276889.969999999</v>
      </c>
      <c r="R128" s="519">
        <f t="shared" si="135"/>
        <v>602423110.02999997</v>
      </c>
      <c r="S128" s="468">
        <f t="shared" si="131"/>
        <v>9.3691725545358803E-2</v>
      </c>
    </row>
    <row r="129" spans="1:27" s="29" customFormat="1" ht="14.4" x14ac:dyDescent="0.2">
      <c r="A129" s="492" t="s">
        <v>112</v>
      </c>
      <c r="B129" s="423" t="s">
        <v>423</v>
      </c>
      <c r="C129" s="424" t="s">
        <v>113</v>
      </c>
      <c r="D129" s="425">
        <v>630700000</v>
      </c>
      <c r="E129" s="425">
        <v>0</v>
      </c>
      <c r="F129" s="425">
        <v>34000000</v>
      </c>
      <c r="G129" s="425">
        <v>0</v>
      </c>
      <c r="H129" s="425">
        <v>0</v>
      </c>
      <c r="I129" s="425">
        <v>0</v>
      </c>
      <c r="J129" s="425">
        <v>0</v>
      </c>
      <c r="K129" s="425">
        <f>SUM(E129:J129)</f>
        <v>34000000</v>
      </c>
      <c r="L129" s="508">
        <f>D129+K129</f>
        <v>664700000</v>
      </c>
      <c r="M129" s="526">
        <v>54062140.25</v>
      </c>
      <c r="N129" s="425">
        <v>7026661.9200000018</v>
      </c>
      <c r="O129" s="425">
        <v>764553.68999999762</v>
      </c>
      <c r="P129" s="425">
        <f t="shared" ref="P129" si="136">Q129-M129-N129-O129</f>
        <v>423534.1099999994</v>
      </c>
      <c r="Q129" s="527">
        <v>62276889.969999999</v>
      </c>
      <c r="R129" s="516">
        <f>L129-Q129</f>
        <v>602423110.02999997</v>
      </c>
      <c r="S129" s="469">
        <f>Q129/L129</f>
        <v>9.3691725545358803E-2</v>
      </c>
    </row>
    <row r="130" spans="1:27" s="11" customFormat="1" ht="14.4" x14ac:dyDescent="0.2">
      <c r="A130" s="492"/>
      <c r="B130" s="423"/>
      <c r="C130" s="426"/>
      <c r="D130" s="425"/>
      <c r="E130" s="425"/>
      <c r="F130" s="425"/>
      <c r="G130" s="425"/>
      <c r="H130" s="425"/>
      <c r="I130" s="425"/>
      <c r="J130" s="425"/>
      <c r="K130" s="425"/>
      <c r="L130" s="508"/>
      <c r="M130" s="526"/>
      <c r="N130" s="425"/>
      <c r="O130" s="425"/>
      <c r="P130" s="425"/>
      <c r="Q130" s="527"/>
      <c r="R130" s="516"/>
      <c r="S130" s="468"/>
    </row>
    <row r="131" spans="1:27" s="11" customFormat="1" ht="28.8" x14ac:dyDescent="0.2">
      <c r="A131" s="437" t="s">
        <v>12</v>
      </c>
      <c r="B131" s="439" t="s">
        <v>424</v>
      </c>
      <c r="C131" s="656" t="s">
        <v>26</v>
      </c>
      <c r="D131" s="440">
        <f>SUM(D132+D134+D137+D140+D142+D144)</f>
        <v>395500000</v>
      </c>
      <c r="E131" s="440">
        <f t="shared" ref="E131" si="137">SUM(E132+E134+E137+E142+E144)</f>
        <v>2000000</v>
      </c>
      <c r="F131" s="440">
        <f t="shared" ref="F131:R131" si="138">SUM(F132+F134+F137+F140+F142+F144)</f>
        <v>642660</v>
      </c>
      <c r="G131" s="440">
        <f t="shared" si="138"/>
        <v>0</v>
      </c>
      <c r="H131" s="440">
        <f t="shared" si="138"/>
        <v>0</v>
      </c>
      <c r="I131" s="440">
        <f t="shared" si="138"/>
        <v>0</v>
      </c>
      <c r="J131" s="440">
        <f t="shared" si="138"/>
        <v>0</v>
      </c>
      <c r="K131" s="440">
        <f t="shared" si="138"/>
        <v>2642660</v>
      </c>
      <c r="L131" s="506">
        <f t="shared" si="138"/>
        <v>398142660</v>
      </c>
      <c r="M131" s="522">
        <v>184456283.44</v>
      </c>
      <c r="N131" s="440">
        <v>5924693.96</v>
      </c>
      <c r="O131" s="440">
        <v>1528272.7899999996</v>
      </c>
      <c r="P131" s="440">
        <f t="shared" si="138"/>
        <v>2173417.9400000004</v>
      </c>
      <c r="Q131" s="523">
        <f t="shared" si="138"/>
        <v>194082668.13</v>
      </c>
      <c r="R131" s="514">
        <f t="shared" si="138"/>
        <v>203068548.36999997</v>
      </c>
      <c r="S131" s="467">
        <f t="shared" si="131"/>
        <v>0.48747016491525924</v>
      </c>
    </row>
    <row r="132" spans="1:27" s="11" customFormat="1" ht="28.8" x14ac:dyDescent="0.2">
      <c r="A132" s="432" t="s">
        <v>85</v>
      </c>
      <c r="B132" s="420" t="s">
        <v>425</v>
      </c>
      <c r="C132" s="654" t="s">
        <v>481</v>
      </c>
      <c r="D132" s="422">
        <f>SUM(D133)</f>
        <v>120000000</v>
      </c>
      <c r="E132" s="422">
        <f t="shared" ref="E132:R132" si="139">SUM(E133)</f>
        <v>0</v>
      </c>
      <c r="F132" s="422">
        <f t="shared" si="139"/>
        <v>0</v>
      </c>
      <c r="G132" s="422">
        <f t="shared" si="139"/>
        <v>0</v>
      </c>
      <c r="H132" s="422">
        <f t="shared" si="139"/>
        <v>0</v>
      </c>
      <c r="I132" s="422">
        <f t="shared" si="139"/>
        <v>0</v>
      </c>
      <c r="J132" s="422">
        <f t="shared" si="139"/>
        <v>0</v>
      </c>
      <c r="K132" s="422">
        <f t="shared" si="139"/>
        <v>0</v>
      </c>
      <c r="L132" s="507">
        <f t="shared" si="139"/>
        <v>120000000</v>
      </c>
      <c r="M132" s="524">
        <v>79863311.400000006</v>
      </c>
      <c r="N132" s="422">
        <v>0</v>
      </c>
      <c r="O132" s="422">
        <v>0</v>
      </c>
      <c r="P132" s="422">
        <f t="shared" si="139"/>
        <v>0</v>
      </c>
      <c r="Q132" s="525">
        <f t="shared" si="139"/>
        <v>79863311.400000006</v>
      </c>
      <c r="R132" s="515">
        <f t="shared" si="139"/>
        <v>40136688.599999994</v>
      </c>
      <c r="S132" s="468">
        <f t="shared" si="131"/>
        <v>0.66552759500000003</v>
      </c>
      <c r="T132" s="16"/>
      <c r="U132" s="16"/>
      <c r="V132" s="16"/>
      <c r="W132" s="16"/>
      <c r="X132" s="16"/>
      <c r="Y132" s="16"/>
      <c r="Z132" s="16"/>
      <c r="AA132" s="16"/>
    </row>
    <row r="133" spans="1:27" s="11" customFormat="1" ht="28.8" x14ac:dyDescent="0.2">
      <c r="A133" s="492" t="s">
        <v>85</v>
      </c>
      <c r="B133" s="423" t="s">
        <v>426</v>
      </c>
      <c r="C133" s="424" t="s">
        <v>482</v>
      </c>
      <c r="D133" s="425">
        <v>120000000</v>
      </c>
      <c r="E133" s="425">
        <v>0</v>
      </c>
      <c r="F133" s="425">
        <v>0</v>
      </c>
      <c r="G133" s="425">
        <v>0</v>
      </c>
      <c r="H133" s="425">
        <v>0</v>
      </c>
      <c r="I133" s="425">
        <v>0</v>
      </c>
      <c r="J133" s="425">
        <v>0</v>
      </c>
      <c r="K133" s="425">
        <f>SUM(E133:J133)</f>
        <v>0</v>
      </c>
      <c r="L133" s="508">
        <f>D133+K133</f>
        <v>120000000</v>
      </c>
      <c r="M133" s="526">
        <v>79863311.400000006</v>
      </c>
      <c r="N133" s="425">
        <v>0</v>
      </c>
      <c r="O133" s="425">
        <v>0</v>
      </c>
      <c r="P133" s="425">
        <f t="shared" ref="P133" si="140">Q133-M133-N133-O133</f>
        <v>0</v>
      </c>
      <c r="Q133" s="527">
        <v>79863311.400000006</v>
      </c>
      <c r="R133" s="516">
        <f>L133-Q133</f>
        <v>40136688.599999994</v>
      </c>
      <c r="S133" s="469">
        <f>Q133/L133</f>
        <v>0.66552759500000003</v>
      </c>
      <c r="T133" s="16"/>
      <c r="U133" s="16"/>
      <c r="V133" s="16"/>
      <c r="W133" s="16"/>
      <c r="X133" s="16"/>
      <c r="Y133" s="16"/>
      <c r="Z133" s="16"/>
      <c r="AA133" s="16"/>
    </row>
    <row r="134" spans="1:27" s="11" customFormat="1" ht="28.8" x14ac:dyDescent="0.2">
      <c r="A134" s="432" t="s">
        <v>14</v>
      </c>
      <c r="B134" s="420" t="s">
        <v>427</v>
      </c>
      <c r="C134" s="654" t="s">
        <v>428</v>
      </c>
      <c r="D134" s="422">
        <f>SUM(D135:D136)</f>
        <v>500000</v>
      </c>
      <c r="E134" s="422">
        <f t="shared" ref="E134:R134" si="141">SUM(E135:E136)</f>
        <v>0</v>
      </c>
      <c r="F134" s="422">
        <f t="shared" si="141"/>
        <v>642660</v>
      </c>
      <c r="G134" s="422">
        <f t="shared" si="141"/>
        <v>0</v>
      </c>
      <c r="H134" s="422">
        <f t="shared" ref="H134:I134" si="142">SUM(H135:H136)</f>
        <v>0</v>
      </c>
      <c r="I134" s="422">
        <f t="shared" si="142"/>
        <v>0</v>
      </c>
      <c r="J134" s="422">
        <f t="shared" si="141"/>
        <v>0</v>
      </c>
      <c r="K134" s="422">
        <f t="shared" si="141"/>
        <v>642660</v>
      </c>
      <c r="L134" s="507">
        <f t="shared" si="141"/>
        <v>1142660</v>
      </c>
      <c r="M134" s="524">
        <v>63333.33</v>
      </c>
      <c r="N134" s="422">
        <v>126666.65999999999</v>
      </c>
      <c r="O134" s="422">
        <v>40950</v>
      </c>
      <c r="P134" s="422">
        <f t="shared" si="141"/>
        <v>105988.25</v>
      </c>
      <c r="Q134" s="525">
        <f t="shared" si="141"/>
        <v>336938.23999999999</v>
      </c>
      <c r="R134" s="515">
        <f t="shared" si="141"/>
        <v>-185721.74</v>
      </c>
      <c r="S134" s="468">
        <f t="shared" si="131"/>
        <v>0.29487182538987977</v>
      </c>
      <c r="T134" s="16"/>
      <c r="U134" s="16"/>
      <c r="V134" s="16"/>
      <c r="W134" s="16"/>
      <c r="X134" s="16"/>
      <c r="Y134" s="16"/>
      <c r="Z134" s="16"/>
      <c r="AA134" s="16"/>
    </row>
    <row r="135" spans="1:27" s="16" customFormat="1" ht="14.4" x14ac:dyDescent="0.2">
      <c r="A135" s="492" t="s">
        <v>14</v>
      </c>
      <c r="B135" s="423" t="s">
        <v>429</v>
      </c>
      <c r="C135" s="424" t="s">
        <v>114</v>
      </c>
      <c r="D135" s="425">
        <v>500000</v>
      </c>
      <c r="E135" s="425">
        <v>0</v>
      </c>
      <c r="F135" s="425">
        <v>0</v>
      </c>
      <c r="G135" s="425">
        <v>0</v>
      </c>
      <c r="H135" s="425">
        <v>0</v>
      </c>
      <c r="I135" s="425">
        <v>0</v>
      </c>
      <c r="J135" s="425">
        <v>0</v>
      </c>
      <c r="K135" s="425">
        <f>SUM(E135:J135)</f>
        <v>0</v>
      </c>
      <c r="L135" s="508">
        <f>D135+K135</f>
        <v>500000</v>
      </c>
      <c r="M135" s="526">
        <v>63333.33</v>
      </c>
      <c r="N135" s="425">
        <v>126666.65999999999</v>
      </c>
      <c r="O135" s="425">
        <v>0</v>
      </c>
      <c r="P135" s="425">
        <f t="shared" ref="P135:P136" si="143">Q135-M135-N135-O135</f>
        <v>0</v>
      </c>
      <c r="Q135" s="527">
        <v>189999.99</v>
      </c>
      <c r="R135" s="516">
        <f>L135-Q135</f>
        <v>310000.01</v>
      </c>
      <c r="S135" s="469">
        <f>Q135/L135</f>
        <v>0.37999997999999996</v>
      </c>
    </row>
    <row r="136" spans="1:27" s="16" customFormat="1" ht="14.4" x14ac:dyDescent="0.2">
      <c r="A136" s="492" t="s">
        <v>14</v>
      </c>
      <c r="B136" s="423" t="s">
        <v>430</v>
      </c>
      <c r="C136" s="424" t="s">
        <v>115</v>
      </c>
      <c r="D136" s="425"/>
      <c r="E136" s="425">
        <v>0</v>
      </c>
      <c r="F136" s="425">
        <v>642660</v>
      </c>
      <c r="G136" s="425">
        <v>0</v>
      </c>
      <c r="H136" s="425">
        <v>0</v>
      </c>
      <c r="I136" s="425">
        <v>0</v>
      </c>
      <c r="J136" s="425">
        <v>0</v>
      </c>
      <c r="K136" s="425">
        <f>SUM(E136:J136)</f>
        <v>642660</v>
      </c>
      <c r="L136" s="508">
        <f>D136+K136</f>
        <v>642660</v>
      </c>
      <c r="M136" s="526">
        <v>0</v>
      </c>
      <c r="N136" s="425">
        <v>0</v>
      </c>
      <c r="O136" s="425">
        <v>40950</v>
      </c>
      <c r="P136" s="425">
        <f t="shared" si="143"/>
        <v>105988.25</v>
      </c>
      <c r="Q136" s="527">
        <v>146938.25</v>
      </c>
      <c r="R136" s="516">
        <f>Q136-L136</f>
        <v>-495721.75</v>
      </c>
      <c r="S136" s="469">
        <f>Q136/L136</f>
        <v>0.22864072760090873</v>
      </c>
    </row>
    <row r="137" spans="1:27" s="16" customFormat="1" ht="14.4" x14ac:dyDescent="0.2">
      <c r="A137" s="493" t="s">
        <v>14</v>
      </c>
      <c r="B137" s="420" t="s">
        <v>431</v>
      </c>
      <c r="C137" s="654" t="s">
        <v>432</v>
      </c>
      <c r="D137" s="422">
        <f>SUM(D138:D139)</f>
        <v>145000000</v>
      </c>
      <c r="E137" s="422">
        <f t="shared" ref="E137:R137" si="144">SUM(E138:E139)</f>
        <v>0</v>
      </c>
      <c r="F137" s="422">
        <f t="shared" si="144"/>
        <v>0</v>
      </c>
      <c r="G137" s="422">
        <f t="shared" si="144"/>
        <v>0</v>
      </c>
      <c r="H137" s="422">
        <f t="shared" ref="H137:I137" si="145">SUM(H138:H139)</f>
        <v>0</v>
      </c>
      <c r="I137" s="422">
        <f t="shared" si="145"/>
        <v>0</v>
      </c>
      <c r="J137" s="422">
        <f t="shared" si="144"/>
        <v>0</v>
      </c>
      <c r="K137" s="422">
        <f t="shared" si="144"/>
        <v>0</v>
      </c>
      <c r="L137" s="507">
        <f t="shared" si="144"/>
        <v>145000000</v>
      </c>
      <c r="M137" s="524">
        <v>5553888.71</v>
      </c>
      <c r="N137" s="422">
        <v>1151527.2999999998</v>
      </c>
      <c r="O137" s="422">
        <v>1487322.7899999996</v>
      </c>
      <c r="P137" s="422">
        <f t="shared" si="144"/>
        <v>2067429.6900000006</v>
      </c>
      <c r="Q137" s="525">
        <f t="shared" si="144"/>
        <v>10260168.49</v>
      </c>
      <c r="R137" s="515">
        <f t="shared" si="144"/>
        <v>134739831.50999999</v>
      </c>
      <c r="S137" s="468">
        <f t="shared" ref="S137:S144" si="146">Q137/L137</f>
        <v>7.0759782689655173E-2</v>
      </c>
    </row>
    <row r="138" spans="1:27" s="16" customFormat="1" ht="14.4" x14ac:dyDescent="0.2">
      <c r="A138" s="492" t="s">
        <v>14</v>
      </c>
      <c r="B138" s="423" t="s">
        <v>433</v>
      </c>
      <c r="C138" s="424" t="s">
        <v>116</v>
      </c>
      <c r="D138" s="425">
        <v>110000000</v>
      </c>
      <c r="E138" s="425">
        <v>0</v>
      </c>
      <c r="F138" s="425">
        <v>0</v>
      </c>
      <c r="G138" s="425">
        <v>0</v>
      </c>
      <c r="H138" s="425">
        <v>0</v>
      </c>
      <c r="I138" s="425">
        <v>0</v>
      </c>
      <c r="J138" s="425">
        <v>0</v>
      </c>
      <c r="K138" s="425">
        <f t="shared" ref="K138:K139" si="147">SUM(E138:J138)</f>
        <v>0</v>
      </c>
      <c r="L138" s="508">
        <f t="shared" ref="L138:L139" si="148">D138+K138</f>
        <v>110000000</v>
      </c>
      <c r="M138" s="526">
        <v>20284.47</v>
      </c>
      <c r="N138" s="425">
        <v>0</v>
      </c>
      <c r="O138" s="425">
        <v>223129.15</v>
      </c>
      <c r="P138" s="425">
        <f t="shared" ref="P138:P139" si="149">Q138-M138-N138-O138</f>
        <v>244277.38000000003</v>
      </c>
      <c r="Q138" s="527">
        <v>487691</v>
      </c>
      <c r="R138" s="516">
        <f t="shared" ref="R138:R139" si="150">L138-Q138</f>
        <v>109512309</v>
      </c>
      <c r="S138" s="469">
        <f t="shared" si="146"/>
        <v>4.4335545454545454E-3</v>
      </c>
    </row>
    <row r="139" spans="1:27" s="11" customFormat="1" ht="14.4" x14ac:dyDescent="0.2">
      <c r="A139" s="492" t="s">
        <v>14</v>
      </c>
      <c r="B139" s="423" t="s">
        <v>434</v>
      </c>
      <c r="C139" s="424" t="s">
        <v>117</v>
      </c>
      <c r="D139" s="425">
        <v>35000000</v>
      </c>
      <c r="E139" s="425">
        <v>0</v>
      </c>
      <c r="F139" s="425">
        <v>0</v>
      </c>
      <c r="G139" s="425">
        <v>0</v>
      </c>
      <c r="H139" s="425">
        <v>0</v>
      </c>
      <c r="I139" s="425">
        <v>0</v>
      </c>
      <c r="J139" s="425">
        <v>0</v>
      </c>
      <c r="K139" s="425">
        <f t="shared" si="147"/>
        <v>0</v>
      </c>
      <c r="L139" s="508">
        <f t="shared" si="148"/>
        <v>35000000</v>
      </c>
      <c r="M139" s="526">
        <v>5533604.2400000002</v>
      </c>
      <c r="N139" s="425">
        <v>1151527.2999999998</v>
      </c>
      <c r="O139" s="425">
        <v>1264193.6399999997</v>
      </c>
      <c r="P139" s="425">
        <f t="shared" si="149"/>
        <v>1823152.3100000005</v>
      </c>
      <c r="Q139" s="527">
        <v>9772477.4900000002</v>
      </c>
      <c r="R139" s="516">
        <f t="shared" si="150"/>
        <v>25227522.509999998</v>
      </c>
      <c r="S139" s="469">
        <f t="shared" si="146"/>
        <v>0.27921364257142856</v>
      </c>
    </row>
    <row r="140" spans="1:27" s="11" customFormat="1" ht="28.8" x14ac:dyDescent="0.2">
      <c r="A140" s="436" t="s">
        <v>14</v>
      </c>
      <c r="B140" s="420" t="s">
        <v>457</v>
      </c>
      <c r="C140" s="657" t="s">
        <v>483</v>
      </c>
      <c r="D140" s="580">
        <f>+D141</f>
        <v>0</v>
      </c>
      <c r="E140" s="425"/>
      <c r="F140" s="580">
        <f t="shared" ref="F140:R140" si="151">+F141</f>
        <v>0</v>
      </c>
      <c r="G140" s="580">
        <f t="shared" si="151"/>
        <v>0</v>
      </c>
      <c r="H140" s="580">
        <f t="shared" si="151"/>
        <v>0</v>
      </c>
      <c r="I140" s="580">
        <f t="shared" si="151"/>
        <v>0</v>
      </c>
      <c r="J140" s="580">
        <f t="shared" si="151"/>
        <v>0</v>
      </c>
      <c r="K140" s="580">
        <f t="shared" si="151"/>
        <v>0</v>
      </c>
      <c r="L140" s="573">
        <f t="shared" si="151"/>
        <v>0</v>
      </c>
      <c r="M140" s="581">
        <v>0</v>
      </c>
      <c r="N140" s="580">
        <v>0</v>
      </c>
      <c r="O140" s="580">
        <v>0</v>
      </c>
      <c r="P140" s="580">
        <f t="shared" si="151"/>
        <v>0</v>
      </c>
      <c r="Q140" s="582">
        <f t="shared" si="151"/>
        <v>0</v>
      </c>
      <c r="R140" s="553">
        <f t="shared" si="151"/>
        <v>0</v>
      </c>
      <c r="S140" s="468" t="e">
        <f t="shared" si="146"/>
        <v>#DIV/0!</v>
      </c>
    </row>
    <row r="141" spans="1:27" s="11" customFormat="1" ht="28.8" x14ac:dyDescent="0.2">
      <c r="A141" s="433" t="s">
        <v>14</v>
      </c>
      <c r="B141" s="423" t="s">
        <v>459</v>
      </c>
      <c r="C141" s="424" t="s">
        <v>460</v>
      </c>
      <c r="D141" s="425"/>
      <c r="E141" s="425"/>
      <c r="F141" s="425"/>
      <c r="G141" s="425"/>
      <c r="H141" s="425"/>
      <c r="I141" s="425"/>
      <c r="J141" s="425"/>
      <c r="K141" s="425">
        <f t="shared" ref="K141" si="152">SUM(E141:J141)</f>
        <v>0</v>
      </c>
      <c r="L141" s="508">
        <f t="shared" ref="L141" si="153">D141+K141</f>
        <v>0</v>
      </c>
      <c r="M141" s="526">
        <v>0</v>
      </c>
      <c r="N141" s="425">
        <v>0</v>
      </c>
      <c r="O141" s="425">
        <v>0</v>
      </c>
      <c r="P141" s="425">
        <f t="shared" ref="P141" si="154">Q141-M141-N141-O141</f>
        <v>0</v>
      </c>
      <c r="Q141" s="527">
        <v>0</v>
      </c>
      <c r="R141" s="516">
        <f t="shared" ref="R141" si="155">L141-Q141</f>
        <v>0</v>
      </c>
      <c r="S141" s="469" t="e">
        <f t="shared" ref="S141" si="156">Q141/L141</f>
        <v>#DIV/0!</v>
      </c>
    </row>
    <row r="142" spans="1:27" s="11" customFormat="1" ht="28.8" x14ac:dyDescent="0.2">
      <c r="A142" s="493" t="s">
        <v>14</v>
      </c>
      <c r="B142" s="420" t="s">
        <v>435</v>
      </c>
      <c r="C142" s="654" t="s">
        <v>484</v>
      </c>
      <c r="D142" s="422">
        <f>SUM(D143)</f>
        <v>20000000</v>
      </c>
      <c r="E142" s="422">
        <f t="shared" ref="E142:R142" si="157">SUM(E143)</f>
        <v>0</v>
      </c>
      <c r="F142" s="422">
        <f t="shared" si="157"/>
        <v>0</v>
      </c>
      <c r="G142" s="422">
        <f t="shared" si="157"/>
        <v>0</v>
      </c>
      <c r="H142" s="422">
        <f t="shared" si="157"/>
        <v>0</v>
      </c>
      <c r="I142" s="422">
        <f t="shared" si="157"/>
        <v>0</v>
      </c>
      <c r="J142" s="422">
        <f t="shared" si="157"/>
        <v>0</v>
      </c>
      <c r="K142" s="422">
        <f t="shared" si="157"/>
        <v>0</v>
      </c>
      <c r="L142" s="507">
        <f t="shared" si="157"/>
        <v>20000000</v>
      </c>
      <c r="M142" s="524">
        <v>0</v>
      </c>
      <c r="N142" s="422">
        <v>0</v>
      </c>
      <c r="O142" s="422">
        <v>0</v>
      </c>
      <c r="P142" s="422">
        <f t="shared" si="157"/>
        <v>0</v>
      </c>
      <c r="Q142" s="525">
        <f t="shared" si="157"/>
        <v>0</v>
      </c>
      <c r="R142" s="515">
        <f t="shared" si="157"/>
        <v>20000000</v>
      </c>
      <c r="S142" s="469">
        <f t="shared" ref="S142:S155" si="158">Q142/L142</f>
        <v>0</v>
      </c>
    </row>
    <row r="143" spans="1:27" s="11" customFormat="1" ht="14.4" x14ac:dyDescent="0.2">
      <c r="A143" s="492" t="s">
        <v>14</v>
      </c>
      <c r="B143" s="423" t="s">
        <v>436</v>
      </c>
      <c r="C143" s="424" t="s">
        <v>118</v>
      </c>
      <c r="D143" s="425">
        <v>20000000</v>
      </c>
      <c r="E143" s="425">
        <v>0</v>
      </c>
      <c r="F143" s="425">
        <v>0</v>
      </c>
      <c r="G143" s="425">
        <v>0</v>
      </c>
      <c r="H143" s="425">
        <v>0</v>
      </c>
      <c r="I143" s="425">
        <v>0</v>
      </c>
      <c r="J143" s="425">
        <v>0</v>
      </c>
      <c r="K143" s="425">
        <f>SUM(E143:J143)</f>
        <v>0</v>
      </c>
      <c r="L143" s="508">
        <f>D143+K143</f>
        <v>20000000</v>
      </c>
      <c r="M143" s="526">
        <v>0</v>
      </c>
      <c r="N143" s="425">
        <v>0</v>
      </c>
      <c r="O143" s="425">
        <v>0</v>
      </c>
      <c r="P143" s="425">
        <f t="shared" ref="P143" si="159">Q143-M143-N143-O143</f>
        <v>0</v>
      </c>
      <c r="Q143" s="527">
        <v>0</v>
      </c>
      <c r="R143" s="516">
        <f>L143-Q143</f>
        <v>20000000</v>
      </c>
      <c r="S143" s="469">
        <f>Q143/L143</f>
        <v>0</v>
      </c>
    </row>
    <row r="144" spans="1:27" s="16" customFormat="1" ht="28.8" x14ac:dyDescent="0.2">
      <c r="A144" s="493" t="s">
        <v>14</v>
      </c>
      <c r="B144" s="420" t="s">
        <v>437</v>
      </c>
      <c r="C144" s="654" t="s">
        <v>485</v>
      </c>
      <c r="D144" s="422">
        <f>SUM(D145)</f>
        <v>110000000</v>
      </c>
      <c r="E144" s="422">
        <f t="shared" ref="E144:R144" si="160">SUM(E145)</f>
        <v>2000000</v>
      </c>
      <c r="F144" s="422">
        <f t="shared" si="160"/>
        <v>0</v>
      </c>
      <c r="G144" s="422">
        <f t="shared" si="160"/>
        <v>0</v>
      </c>
      <c r="H144" s="422">
        <f t="shared" si="160"/>
        <v>0</v>
      </c>
      <c r="I144" s="422">
        <f t="shared" si="160"/>
        <v>0</v>
      </c>
      <c r="J144" s="422">
        <f t="shared" si="160"/>
        <v>0</v>
      </c>
      <c r="K144" s="422">
        <f t="shared" si="160"/>
        <v>2000000</v>
      </c>
      <c r="L144" s="507">
        <f t="shared" si="160"/>
        <v>112000000</v>
      </c>
      <c r="M144" s="524">
        <v>98975750</v>
      </c>
      <c r="N144" s="422">
        <v>4646500</v>
      </c>
      <c r="O144" s="422">
        <v>0</v>
      </c>
      <c r="P144" s="422">
        <f t="shared" si="160"/>
        <v>0</v>
      </c>
      <c r="Q144" s="525">
        <f t="shared" si="160"/>
        <v>103622250</v>
      </c>
      <c r="R144" s="515">
        <f t="shared" si="160"/>
        <v>8377750</v>
      </c>
      <c r="S144" s="468">
        <f t="shared" si="146"/>
        <v>0.92519866071428569</v>
      </c>
    </row>
    <row r="145" spans="1:19" s="16" customFormat="1" ht="28.8" x14ac:dyDescent="0.2">
      <c r="A145" s="492" t="s">
        <v>14</v>
      </c>
      <c r="B145" s="423" t="s">
        <v>438</v>
      </c>
      <c r="C145" s="424" t="s">
        <v>486</v>
      </c>
      <c r="D145" s="425">
        <v>110000000</v>
      </c>
      <c r="E145" s="425">
        <v>2000000</v>
      </c>
      <c r="F145" s="425">
        <v>0</v>
      </c>
      <c r="G145" s="425">
        <v>0</v>
      </c>
      <c r="H145" s="425">
        <v>0</v>
      </c>
      <c r="I145" s="425">
        <v>0</v>
      </c>
      <c r="J145" s="425">
        <v>0</v>
      </c>
      <c r="K145" s="425">
        <f>SUM(E145:J145)</f>
        <v>2000000</v>
      </c>
      <c r="L145" s="508">
        <f>D145+K145</f>
        <v>112000000</v>
      </c>
      <c r="M145" s="526">
        <v>98975750</v>
      </c>
      <c r="N145" s="425">
        <v>4646500</v>
      </c>
      <c r="O145" s="425">
        <v>0</v>
      </c>
      <c r="P145" s="425">
        <f t="shared" ref="P145" si="161">Q145-M145-N145-O145</f>
        <v>0</v>
      </c>
      <c r="Q145" s="527">
        <v>103622250</v>
      </c>
      <c r="R145" s="516">
        <f>L145-Q145</f>
        <v>8377750</v>
      </c>
      <c r="S145" s="469">
        <f>Q145/L145</f>
        <v>0.92519866071428569</v>
      </c>
    </row>
    <row r="146" spans="1:19" s="16" customFormat="1" ht="14.4" x14ac:dyDescent="0.2">
      <c r="A146" s="432"/>
      <c r="B146" s="423"/>
      <c r="C146" s="426"/>
      <c r="D146" s="425"/>
      <c r="E146" s="425"/>
      <c r="F146" s="425"/>
      <c r="G146" s="425"/>
      <c r="H146" s="425"/>
      <c r="I146" s="425"/>
      <c r="J146" s="425"/>
      <c r="K146" s="425"/>
      <c r="L146" s="508"/>
      <c r="M146" s="526"/>
      <c r="N146" s="425"/>
      <c r="O146" s="425"/>
      <c r="P146" s="425"/>
      <c r="Q146" s="527"/>
      <c r="R146" s="516"/>
      <c r="S146" s="469"/>
    </row>
    <row r="147" spans="1:19" s="16" customFormat="1" ht="14.4" x14ac:dyDescent="0.3">
      <c r="A147" s="437" t="s">
        <v>450</v>
      </c>
      <c r="B147" s="444" t="s">
        <v>439</v>
      </c>
      <c r="C147" s="656" t="s">
        <v>440</v>
      </c>
      <c r="D147" s="440">
        <f>+D148</f>
        <v>1800000000</v>
      </c>
      <c r="E147" s="440">
        <f t="shared" ref="E147:R147" si="162">+E148</f>
        <v>0</v>
      </c>
      <c r="F147" s="440">
        <f t="shared" si="162"/>
        <v>0</v>
      </c>
      <c r="G147" s="440">
        <f t="shared" si="162"/>
        <v>0</v>
      </c>
      <c r="H147" s="440">
        <f t="shared" si="162"/>
        <v>0</v>
      </c>
      <c r="I147" s="440">
        <f t="shared" si="162"/>
        <v>0</v>
      </c>
      <c r="J147" s="440">
        <f t="shared" si="162"/>
        <v>0</v>
      </c>
      <c r="K147" s="440">
        <f t="shared" si="162"/>
        <v>0</v>
      </c>
      <c r="L147" s="506">
        <f t="shared" si="162"/>
        <v>1800000000</v>
      </c>
      <c r="M147" s="522">
        <v>92593131</v>
      </c>
      <c r="N147" s="440">
        <v>96998278</v>
      </c>
      <c r="O147" s="440">
        <v>100526861.5</v>
      </c>
      <c r="P147" s="440">
        <f t="shared" si="162"/>
        <v>81833396.5</v>
      </c>
      <c r="Q147" s="523">
        <f t="shared" si="162"/>
        <v>371951667</v>
      </c>
      <c r="R147" s="514">
        <f t="shared" si="162"/>
        <v>1428048333</v>
      </c>
      <c r="S147" s="467">
        <f t="shared" si="158"/>
        <v>0.206639815</v>
      </c>
    </row>
    <row r="148" spans="1:19" s="16" customFormat="1" ht="28.8" x14ac:dyDescent="0.3">
      <c r="A148" s="432" t="s">
        <v>119</v>
      </c>
      <c r="B148" s="427" t="s">
        <v>441</v>
      </c>
      <c r="C148" s="654" t="s">
        <v>442</v>
      </c>
      <c r="D148" s="422">
        <f>SUM(D149)</f>
        <v>1800000000</v>
      </c>
      <c r="E148" s="422">
        <f t="shared" ref="E148:R148" si="163">SUM(E149)</f>
        <v>0</v>
      </c>
      <c r="F148" s="422">
        <f t="shared" si="163"/>
        <v>0</v>
      </c>
      <c r="G148" s="422">
        <f t="shared" si="163"/>
        <v>0</v>
      </c>
      <c r="H148" s="422">
        <f t="shared" si="163"/>
        <v>0</v>
      </c>
      <c r="I148" s="422">
        <f t="shared" si="163"/>
        <v>0</v>
      </c>
      <c r="J148" s="422">
        <f t="shared" si="163"/>
        <v>0</v>
      </c>
      <c r="K148" s="422">
        <f t="shared" si="163"/>
        <v>0</v>
      </c>
      <c r="L148" s="507">
        <f t="shared" si="163"/>
        <v>1800000000</v>
      </c>
      <c r="M148" s="524">
        <v>92593131</v>
      </c>
      <c r="N148" s="422">
        <v>96998278</v>
      </c>
      <c r="O148" s="422">
        <v>100526861.5</v>
      </c>
      <c r="P148" s="422">
        <f t="shared" si="163"/>
        <v>81833396.5</v>
      </c>
      <c r="Q148" s="525">
        <f t="shared" si="163"/>
        <v>371951667</v>
      </c>
      <c r="R148" s="515">
        <f t="shared" si="163"/>
        <v>1428048333</v>
      </c>
      <c r="S148" s="468">
        <f t="shared" si="158"/>
        <v>0.206639815</v>
      </c>
    </row>
    <row r="149" spans="1:19" s="16" customFormat="1" ht="28.8" x14ac:dyDescent="0.2">
      <c r="A149" s="492" t="s">
        <v>119</v>
      </c>
      <c r="B149" s="423" t="s">
        <v>443</v>
      </c>
      <c r="C149" s="424" t="s">
        <v>120</v>
      </c>
      <c r="D149" s="425">
        <f>410995759+1389004241</f>
        <v>1800000000</v>
      </c>
      <c r="E149" s="425">
        <v>0</v>
      </c>
      <c r="F149" s="425">
        <v>0</v>
      </c>
      <c r="G149" s="425">
        <v>0</v>
      </c>
      <c r="H149" s="425">
        <v>0</v>
      </c>
      <c r="I149" s="425">
        <v>0</v>
      </c>
      <c r="J149" s="425">
        <v>0</v>
      </c>
      <c r="K149" s="425">
        <f>SUM(E149:J149)</f>
        <v>0</v>
      </c>
      <c r="L149" s="508">
        <f>D149+K149</f>
        <v>1800000000</v>
      </c>
      <c r="M149" s="526">
        <v>92593131</v>
      </c>
      <c r="N149" s="425">
        <v>96998278</v>
      </c>
      <c r="O149" s="425">
        <v>100526861.5</v>
      </c>
      <c r="P149" s="425">
        <f t="shared" ref="P149" si="164">Q149-M149-N149-O149</f>
        <v>81833396.5</v>
      </c>
      <c r="Q149" s="527">
        <v>371951667</v>
      </c>
      <c r="R149" s="516">
        <f>L149-Q149</f>
        <v>1428048333</v>
      </c>
      <c r="S149" s="469">
        <f>Q149/L149</f>
        <v>0.206639815</v>
      </c>
    </row>
    <row r="150" spans="1:19" s="16" customFormat="1" ht="14.4" x14ac:dyDescent="0.2">
      <c r="A150" s="432"/>
      <c r="B150" s="430"/>
      <c r="C150" s="654"/>
      <c r="D150" s="422"/>
      <c r="E150" s="422"/>
      <c r="F150" s="422"/>
      <c r="G150" s="422"/>
      <c r="H150" s="422"/>
      <c r="I150" s="422"/>
      <c r="J150" s="422"/>
      <c r="K150" s="422"/>
      <c r="L150" s="507"/>
      <c r="M150" s="524"/>
      <c r="N150" s="422"/>
      <c r="O150" s="422"/>
      <c r="P150" s="422"/>
      <c r="Q150" s="525"/>
      <c r="R150" s="515"/>
      <c r="S150" s="469"/>
    </row>
    <row r="151" spans="1:19" s="16" customFormat="1" ht="14.4" x14ac:dyDescent="0.2">
      <c r="A151" s="437">
        <v>4</v>
      </c>
      <c r="B151" s="439" t="s">
        <v>444</v>
      </c>
      <c r="C151" s="656" t="s">
        <v>121</v>
      </c>
      <c r="D151" s="440">
        <f>+D152</f>
        <v>844770320.35000002</v>
      </c>
      <c r="E151" s="440">
        <f t="shared" ref="E151:R151" si="165">+E152</f>
        <v>-99326452</v>
      </c>
      <c r="F151" s="440">
        <f t="shared" si="165"/>
        <v>-20060000</v>
      </c>
      <c r="G151" s="440">
        <f t="shared" si="165"/>
        <v>0</v>
      </c>
      <c r="H151" s="440">
        <f t="shared" si="165"/>
        <v>0</v>
      </c>
      <c r="I151" s="440">
        <f t="shared" si="165"/>
        <v>0</v>
      </c>
      <c r="J151" s="440">
        <f t="shared" si="165"/>
        <v>0</v>
      </c>
      <c r="K151" s="440">
        <f t="shared" si="165"/>
        <v>-119386452</v>
      </c>
      <c r="L151" s="506">
        <f t="shared" si="165"/>
        <v>725383868.35000002</v>
      </c>
      <c r="M151" s="522">
        <v>0</v>
      </c>
      <c r="N151" s="440">
        <v>0</v>
      </c>
      <c r="O151" s="440">
        <v>0</v>
      </c>
      <c r="P151" s="440">
        <f t="shared" si="165"/>
        <v>0</v>
      </c>
      <c r="Q151" s="523">
        <f t="shared" si="165"/>
        <v>0</v>
      </c>
      <c r="R151" s="514">
        <f t="shared" si="165"/>
        <v>725383868.35000002</v>
      </c>
      <c r="S151" s="467">
        <f t="shared" si="158"/>
        <v>0</v>
      </c>
    </row>
    <row r="152" spans="1:19" s="16" customFormat="1" ht="28.8" x14ac:dyDescent="0.2">
      <c r="A152" s="497" t="s">
        <v>449</v>
      </c>
      <c r="B152" s="420" t="s">
        <v>441</v>
      </c>
      <c r="C152" s="654" t="s">
        <v>445</v>
      </c>
      <c r="D152" s="422">
        <f t="shared" ref="D152:R152" si="166">SUM(D153:D153)</f>
        <v>844770320.35000002</v>
      </c>
      <c r="E152" s="422">
        <f t="shared" si="166"/>
        <v>-99326452</v>
      </c>
      <c r="F152" s="422">
        <f t="shared" si="166"/>
        <v>-20060000</v>
      </c>
      <c r="G152" s="422">
        <f t="shared" si="166"/>
        <v>0</v>
      </c>
      <c r="H152" s="422">
        <f t="shared" si="166"/>
        <v>0</v>
      </c>
      <c r="I152" s="422">
        <f t="shared" si="166"/>
        <v>0</v>
      </c>
      <c r="J152" s="422">
        <f t="shared" si="166"/>
        <v>0</v>
      </c>
      <c r="K152" s="422">
        <f t="shared" si="166"/>
        <v>-119386452</v>
      </c>
      <c r="L152" s="507">
        <f t="shared" si="166"/>
        <v>725383868.35000002</v>
      </c>
      <c r="M152" s="524">
        <v>0</v>
      </c>
      <c r="N152" s="422">
        <v>0</v>
      </c>
      <c r="O152" s="422">
        <v>0</v>
      </c>
      <c r="P152" s="422">
        <f t="shared" si="166"/>
        <v>0</v>
      </c>
      <c r="Q152" s="525">
        <f t="shared" si="166"/>
        <v>0</v>
      </c>
      <c r="R152" s="515">
        <f t="shared" si="166"/>
        <v>725383868.35000002</v>
      </c>
      <c r="S152" s="468">
        <f t="shared" si="158"/>
        <v>0</v>
      </c>
    </row>
    <row r="153" spans="1:19" s="16" customFormat="1" ht="28.8" x14ac:dyDescent="0.2">
      <c r="A153" s="492" t="s">
        <v>449</v>
      </c>
      <c r="B153" s="423" t="s">
        <v>446</v>
      </c>
      <c r="C153" s="424" t="s">
        <v>447</v>
      </c>
      <c r="D153" s="425">
        <v>844770320.35000002</v>
      </c>
      <c r="E153" s="425">
        <v>-99326452</v>
      </c>
      <c r="F153" s="425">
        <v>-20060000</v>
      </c>
      <c r="G153" s="425">
        <v>0</v>
      </c>
      <c r="H153" s="425">
        <v>0</v>
      </c>
      <c r="I153" s="425">
        <v>0</v>
      </c>
      <c r="J153" s="425">
        <v>0</v>
      </c>
      <c r="K153" s="425">
        <f>SUM(E153:J153)</f>
        <v>-119386452</v>
      </c>
      <c r="L153" s="508">
        <f>D153+K153</f>
        <v>725383868.35000002</v>
      </c>
      <c r="M153" s="526">
        <v>0</v>
      </c>
      <c r="N153" s="425">
        <v>0</v>
      </c>
      <c r="O153" s="425">
        <v>0</v>
      </c>
      <c r="P153" s="425">
        <v>0</v>
      </c>
      <c r="Q153" s="527">
        <v>0</v>
      </c>
      <c r="R153" s="516">
        <f>L153-Q153</f>
        <v>725383868.35000002</v>
      </c>
      <c r="S153" s="469">
        <f>Q153/L153</f>
        <v>0</v>
      </c>
    </row>
    <row r="154" spans="1:19" s="16" customFormat="1" ht="14.4" x14ac:dyDescent="0.2">
      <c r="A154" s="455"/>
      <c r="B154" s="456"/>
      <c r="C154" s="457"/>
      <c r="D154" s="458"/>
      <c r="E154" s="458"/>
      <c r="F154" s="458"/>
      <c r="G154" s="458"/>
      <c r="H154" s="458"/>
      <c r="I154" s="458"/>
      <c r="J154" s="458"/>
      <c r="K154" s="458"/>
      <c r="L154" s="512"/>
      <c r="M154" s="532"/>
      <c r="N154" s="458"/>
      <c r="O154" s="458"/>
      <c r="P154" s="458"/>
      <c r="Q154" s="533"/>
      <c r="R154" s="520"/>
      <c r="S154" s="470"/>
    </row>
    <row r="155" spans="1:19" s="16" customFormat="1" ht="15" thickBot="1" x14ac:dyDescent="0.25">
      <c r="A155" s="545"/>
      <c r="B155" s="460" t="s">
        <v>130</v>
      </c>
      <c r="C155" s="461"/>
      <c r="D155" s="462">
        <f t="shared" ref="D155:R155" si="167">SUM(D151+D147+D131+D117+D89+D41+D13)</f>
        <v>16922356461.07</v>
      </c>
      <c r="E155" s="462">
        <f t="shared" si="167"/>
        <v>0</v>
      </c>
      <c r="F155" s="462">
        <f t="shared" si="167"/>
        <v>59072000</v>
      </c>
      <c r="G155" s="462">
        <f t="shared" si="167"/>
        <v>0</v>
      </c>
      <c r="H155" s="462">
        <f t="shared" ref="H155:I155" si="168">SUM(H151+H147+H131+H117+H89+H41+H13)</f>
        <v>0</v>
      </c>
      <c r="I155" s="462">
        <f t="shared" si="168"/>
        <v>0</v>
      </c>
      <c r="J155" s="462">
        <f t="shared" si="167"/>
        <v>0</v>
      </c>
      <c r="K155" s="462">
        <f t="shared" si="167"/>
        <v>59072000</v>
      </c>
      <c r="L155" s="513">
        <f t="shared" si="167"/>
        <v>16981428461.07</v>
      </c>
      <c r="M155" s="534">
        <f t="shared" si="167"/>
        <v>1825866519.7</v>
      </c>
      <c r="N155" s="462">
        <f t="shared" si="167"/>
        <v>548772156.81000006</v>
      </c>
      <c r="O155" s="462">
        <f t="shared" si="167"/>
        <v>595576299.4000001</v>
      </c>
      <c r="P155" s="462">
        <f t="shared" si="167"/>
        <v>615165023.53999996</v>
      </c>
      <c r="Q155" s="653">
        <f t="shared" si="167"/>
        <v>3585379999.4499998</v>
      </c>
      <c r="R155" s="521">
        <f t="shared" si="167"/>
        <v>13395057018.119999</v>
      </c>
      <c r="S155" s="464">
        <f t="shared" si="158"/>
        <v>0.21113535929380142</v>
      </c>
    </row>
    <row r="156" spans="1:19" s="16" customFormat="1" ht="15" thickTop="1" x14ac:dyDescent="0.2">
      <c r="A156" s="546"/>
      <c r="B156" s="445"/>
      <c r="C156" s="446"/>
      <c r="D156" s="447"/>
      <c r="E156" s="447"/>
      <c r="F156" s="447"/>
      <c r="G156" s="447"/>
      <c r="H156" s="447"/>
      <c r="I156" s="447"/>
      <c r="J156" s="447"/>
      <c r="K156" s="447"/>
      <c r="L156" s="447"/>
      <c r="M156" s="447"/>
      <c r="N156" s="447"/>
      <c r="O156" s="447"/>
      <c r="P156" s="447"/>
      <c r="Q156" s="447"/>
      <c r="R156" s="447"/>
      <c r="S156" s="465"/>
    </row>
    <row r="157" spans="1:19" ht="14.4" x14ac:dyDescent="0.3">
      <c r="A157" s="7" t="s">
        <v>236</v>
      </c>
      <c r="D157" s="503"/>
      <c r="F157" s="19"/>
      <c r="G157" s="19"/>
      <c r="H157" s="19"/>
      <c r="I157" s="19"/>
      <c r="J157" s="19"/>
      <c r="L157" s="50"/>
      <c r="M157" s="6"/>
      <c r="O157" s="6"/>
      <c r="P157" s="6"/>
      <c r="Q157" s="542"/>
      <c r="R157" s="6"/>
      <c r="S157" s="6"/>
    </row>
    <row r="158" spans="1:19" ht="12" customHeight="1" x14ac:dyDescent="0.3">
      <c r="D158" s="9"/>
      <c r="F158" s="19"/>
      <c r="G158" s="19"/>
      <c r="H158" s="19"/>
      <c r="I158" s="19"/>
      <c r="J158" s="19"/>
      <c r="L158" s="50"/>
      <c r="M158" s="6"/>
      <c r="N158" s="6"/>
      <c r="O158" s="6"/>
      <c r="P158" s="6"/>
      <c r="Q158" s="542"/>
      <c r="R158" s="6"/>
      <c r="S158" s="6"/>
    </row>
  </sheetData>
  <mergeCells count="21">
    <mergeCell ref="E3:S3"/>
    <mergeCell ref="E7:S7"/>
    <mergeCell ref="E4:S4"/>
    <mergeCell ref="E5:S5"/>
    <mergeCell ref="P10:P11"/>
    <mergeCell ref="B40:C40"/>
    <mergeCell ref="B9:B11"/>
    <mergeCell ref="A1:S1"/>
    <mergeCell ref="Q10:Q11"/>
    <mergeCell ref="C9:C11"/>
    <mergeCell ref="R9:R11"/>
    <mergeCell ref="S9:S11"/>
    <mergeCell ref="L9:L11"/>
    <mergeCell ref="M9:Q9"/>
    <mergeCell ref="M10:M11"/>
    <mergeCell ref="N10:N11"/>
    <mergeCell ref="E9:K10"/>
    <mergeCell ref="D9:D11"/>
    <mergeCell ref="A9:A11"/>
    <mergeCell ref="O10:O11"/>
    <mergeCell ref="E2:S2"/>
  </mergeCells>
  <phoneticPr fontId="0" type="noConversion"/>
  <printOptions horizontalCentered="1" verticalCentered="1"/>
  <pageMargins left="0.59055118110236227" right="0" top="0.62992125984251968" bottom="0.62992125984251968" header="0" footer="0"/>
  <pageSetup paperSize="9" scale="60" fitToWidth="3" fitToHeight="3" orientation="landscape" r:id="rId1"/>
  <headerFooter alignWithMargins="0"/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X158"/>
  <sheetViews>
    <sheetView topLeftCell="A113" zoomScale="120" zoomScaleNormal="120" workbookViewId="0">
      <selection sqref="A1:S157"/>
    </sheetView>
  </sheetViews>
  <sheetFormatPr baseColWidth="10" defaultColWidth="12" defaultRowHeight="14.4" x14ac:dyDescent="0.3"/>
  <cols>
    <col min="1" max="1" width="9.28515625" style="318" customWidth="1"/>
    <col min="2" max="2" width="13.85546875" style="10" customWidth="1"/>
    <col min="3" max="3" width="31.42578125" style="10" customWidth="1"/>
    <col min="4" max="4" width="20.140625" style="18" bestFit="1" customWidth="1"/>
    <col min="5" max="5" width="8.42578125" style="380" customWidth="1"/>
    <col min="6" max="6" width="17.7109375" style="380" bestFit="1" customWidth="1"/>
    <col min="7" max="10" width="5.85546875" style="380" hidden="1" customWidth="1"/>
    <col min="11" max="11" width="17.85546875" style="9" customWidth="1"/>
    <col min="12" max="12" width="20.140625" style="19" bestFit="1" customWidth="1"/>
    <col min="13" max="13" width="18.42578125" style="9" customWidth="1"/>
    <col min="14" max="14" width="18.140625" style="9" bestFit="1" customWidth="1"/>
    <col min="15" max="15" width="19.42578125" style="93" customWidth="1"/>
    <col min="16" max="16" width="19" style="9" customWidth="1"/>
    <col min="17" max="17" width="20.140625" style="209" bestFit="1" customWidth="1"/>
    <col min="18" max="18" width="20.140625" style="9" bestFit="1" customWidth="1"/>
    <col min="19" max="19" width="13.42578125" style="50" customWidth="1"/>
    <col min="20" max="20" width="21.28515625" style="6" customWidth="1"/>
    <col min="21" max="21" width="12" style="6" customWidth="1"/>
    <col min="22" max="22" width="19.7109375" style="6" customWidth="1"/>
    <col min="23" max="16384" width="12" style="6"/>
  </cols>
  <sheetData>
    <row r="1" spans="1:19" s="7" customFormat="1" ht="12" customHeight="1" x14ac:dyDescent="0.2">
      <c r="A1" s="823"/>
      <c r="B1" s="823"/>
      <c r="C1" s="823"/>
      <c r="D1" s="823"/>
      <c r="E1" s="823"/>
      <c r="F1" s="823"/>
      <c r="G1" s="823"/>
      <c r="H1" s="823"/>
      <c r="I1" s="823"/>
      <c r="J1" s="823"/>
      <c r="K1" s="823"/>
      <c r="L1" s="823"/>
      <c r="M1" s="823"/>
      <c r="N1" s="823"/>
      <c r="O1" s="823"/>
      <c r="P1" s="823"/>
      <c r="Q1" s="823"/>
      <c r="R1" s="823"/>
      <c r="S1" s="823"/>
    </row>
    <row r="2" spans="1:19" s="7" customFormat="1" x14ac:dyDescent="0.2">
      <c r="A2" s="316"/>
      <c r="C2" s="40"/>
      <c r="D2" s="40"/>
      <c r="E2" s="820" t="s">
        <v>123</v>
      </c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20"/>
      <c r="R2" s="820"/>
      <c r="S2" s="820"/>
    </row>
    <row r="3" spans="1:19" s="7" customFormat="1" x14ac:dyDescent="0.2">
      <c r="A3" s="317"/>
      <c r="C3" s="40"/>
      <c r="D3" s="40"/>
      <c r="E3" s="820" t="s">
        <v>276</v>
      </c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</row>
    <row r="4" spans="1:19" s="7" customFormat="1" x14ac:dyDescent="0.2">
      <c r="A4" s="317"/>
      <c r="C4" s="40"/>
      <c r="D4" s="40"/>
      <c r="E4" s="820" t="s">
        <v>39</v>
      </c>
      <c r="F4" s="820"/>
      <c r="G4" s="820"/>
      <c r="H4" s="820"/>
      <c r="I4" s="820"/>
      <c r="J4" s="820"/>
      <c r="K4" s="820"/>
      <c r="L4" s="820"/>
      <c r="M4" s="820"/>
      <c r="N4" s="820"/>
      <c r="O4" s="820"/>
      <c r="P4" s="820"/>
      <c r="Q4" s="820"/>
      <c r="R4" s="820"/>
      <c r="S4" s="820"/>
    </row>
    <row r="5" spans="1:19" s="7" customFormat="1" x14ac:dyDescent="0.2">
      <c r="A5" s="317"/>
      <c r="C5" s="40"/>
      <c r="D5" s="40"/>
      <c r="E5" s="820" t="s">
        <v>186</v>
      </c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</row>
    <row r="6" spans="1:19" s="7" customFormat="1" x14ac:dyDescent="0.2">
      <c r="A6" s="317"/>
      <c r="C6" s="40"/>
      <c r="D6" s="40"/>
      <c r="E6" s="379"/>
      <c r="F6" s="379"/>
      <c r="G6" s="379"/>
      <c r="H6" s="379"/>
      <c r="I6" s="379"/>
      <c r="J6" s="379"/>
      <c r="K6" s="103"/>
      <c r="L6" s="103"/>
      <c r="M6" s="103"/>
      <c r="N6" s="103"/>
      <c r="O6" s="103"/>
      <c r="P6" s="103"/>
      <c r="Q6" s="103"/>
      <c r="R6" s="103"/>
      <c r="S6" s="451"/>
    </row>
    <row r="7" spans="1:19" s="7" customFormat="1" x14ac:dyDescent="0.2">
      <c r="A7" s="317"/>
      <c r="C7" s="40"/>
      <c r="D7" s="40"/>
      <c r="E7" s="820" t="str">
        <f>+Ingresos!E6</f>
        <v>AL 30 DE JUNIO DEL 2026</v>
      </c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820"/>
      <c r="Q7" s="820"/>
      <c r="R7" s="820"/>
      <c r="S7" s="820"/>
    </row>
    <row r="8" spans="1:19" s="7" customFormat="1" ht="18" customHeight="1" x14ac:dyDescent="0.2">
      <c r="A8" s="317"/>
      <c r="B8" s="46"/>
      <c r="C8" s="46"/>
      <c r="D8" s="103"/>
      <c r="E8" s="381"/>
      <c r="F8" s="381"/>
      <c r="G8" s="381"/>
      <c r="H8" s="381"/>
      <c r="I8" s="381"/>
      <c r="J8" s="381"/>
      <c r="K8" s="103"/>
      <c r="L8" s="22"/>
      <c r="M8" s="103"/>
      <c r="N8" s="103"/>
      <c r="O8" s="198"/>
      <c r="P8" s="103"/>
      <c r="Q8" s="208"/>
      <c r="R8" s="103"/>
      <c r="S8" s="465"/>
    </row>
    <row r="9" spans="1:19" s="8" customFormat="1" x14ac:dyDescent="0.2">
      <c r="A9" s="839" t="s">
        <v>41</v>
      </c>
      <c r="B9" s="817" t="s">
        <v>42</v>
      </c>
      <c r="C9" s="817" t="s">
        <v>43</v>
      </c>
      <c r="D9" s="835" t="s">
        <v>229</v>
      </c>
      <c r="E9" s="833" t="s">
        <v>44</v>
      </c>
      <c r="F9" s="833"/>
      <c r="G9" s="833"/>
      <c r="H9" s="833"/>
      <c r="I9" s="833"/>
      <c r="J9" s="833"/>
      <c r="K9" s="833"/>
      <c r="L9" s="829" t="s">
        <v>230</v>
      </c>
      <c r="M9" s="832" t="s">
        <v>45</v>
      </c>
      <c r="N9" s="833"/>
      <c r="O9" s="833"/>
      <c r="P9" s="833"/>
      <c r="Q9" s="834"/>
      <c r="R9" s="824" t="s">
        <v>46</v>
      </c>
      <c r="S9" s="800" t="s">
        <v>47</v>
      </c>
    </row>
    <row r="10" spans="1:19" s="8" customFormat="1" ht="12.75" customHeight="1" x14ac:dyDescent="0.2">
      <c r="A10" s="840"/>
      <c r="B10" s="818"/>
      <c r="C10" s="818"/>
      <c r="D10" s="836"/>
      <c r="E10" s="838"/>
      <c r="F10" s="838"/>
      <c r="G10" s="838"/>
      <c r="H10" s="838"/>
      <c r="I10" s="838"/>
      <c r="J10" s="838"/>
      <c r="K10" s="838"/>
      <c r="L10" s="830"/>
      <c r="M10" s="827" t="s">
        <v>499</v>
      </c>
      <c r="N10" s="811" t="s">
        <v>509</v>
      </c>
      <c r="O10" s="811" t="s">
        <v>510</v>
      </c>
      <c r="P10" s="811" t="s">
        <v>511</v>
      </c>
      <c r="Q10" s="821" t="s">
        <v>48</v>
      </c>
      <c r="R10" s="825"/>
      <c r="S10" s="801"/>
    </row>
    <row r="11" spans="1:19" s="8" customFormat="1" x14ac:dyDescent="0.2">
      <c r="A11" s="841"/>
      <c r="B11" s="819"/>
      <c r="C11" s="819"/>
      <c r="D11" s="837"/>
      <c r="E11" s="419" t="s">
        <v>266</v>
      </c>
      <c r="F11" s="419" t="s">
        <v>267</v>
      </c>
      <c r="G11" s="419"/>
      <c r="H11" s="419"/>
      <c r="I11" s="419"/>
      <c r="J11" s="419"/>
      <c r="K11" s="450" t="s">
        <v>49</v>
      </c>
      <c r="L11" s="831"/>
      <c r="M11" s="828"/>
      <c r="N11" s="812"/>
      <c r="O11" s="812"/>
      <c r="P11" s="812"/>
      <c r="Q11" s="822"/>
      <c r="R11" s="826"/>
      <c r="S11" s="802"/>
    </row>
    <row r="12" spans="1:19" s="8" customFormat="1" ht="13.5" customHeight="1" x14ac:dyDescent="0.2">
      <c r="A12" s="305"/>
      <c r="B12" s="306"/>
      <c r="C12" s="306"/>
      <c r="D12" s="313"/>
      <c r="E12" s="314"/>
      <c r="F12" s="314"/>
      <c r="G12" s="314"/>
      <c r="H12" s="314"/>
      <c r="I12" s="314"/>
      <c r="J12" s="314"/>
      <c r="K12" s="307"/>
      <c r="L12" s="309"/>
      <c r="M12" s="311"/>
      <c r="N12" s="308"/>
      <c r="O12" s="315"/>
      <c r="P12" s="308"/>
      <c r="Q12" s="312"/>
      <c r="R12" s="310"/>
      <c r="S12" s="466"/>
    </row>
    <row r="13" spans="1:19" s="8" customFormat="1" x14ac:dyDescent="0.2">
      <c r="A13" s="437">
        <v>1</v>
      </c>
      <c r="B13" s="439" t="s">
        <v>278</v>
      </c>
      <c r="C13" s="655" t="s">
        <v>51</v>
      </c>
      <c r="D13" s="440">
        <f t="shared" ref="D13" si="0">SUM(D14+D18+D23+D29+D35)</f>
        <v>3785047604.3000002</v>
      </c>
      <c r="E13" s="440">
        <f t="shared" ref="E13:R13" si="1">SUM(E14+E18+E23+E29+E35)</f>
        <v>0</v>
      </c>
      <c r="F13" s="440">
        <f t="shared" si="1"/>
        <v>0</v>
      </c>
      <c r="G13" s="440">
        <f t="shared" si="1"/>
        <v>0</v>
      </c>
      <c r="H13" s="440">
        <f t="shared" si="1"/>
        <v>0</v>
      </c>
      <c r="I13" s="440">
        <f t="shared" ref="I13" si="2">SUM(I14+I18+I23+I29+I35)</f>
        <v>0</v>
      </c>
      <c r="J13" s="440">
        <f t="shared" si="1"/>
        <v>0</v>
      </c>
      <c r="K13" s="440">
        <f t="shared" si="1"/>
        <v>0</v>
      </c>
      <c r="L13" s="506">
        <f t="shared" si="1"/>
        <v>3785047604.3000002</v>
      </c>
      <c r="M13" s="522">
        <v>860942286.3599999</v>
      </c>
      <c r="N13" s="440">
        <v>220002338.25</v>
      </c>
      <c r="O13" s="440">
        <v>217722440.71000007</v>
      </c>
      <c r="P13" s="440">
        <f t="shared" si="1"/>
        <v>220646359.98999992</v>
      </c>
      <c r="Q13" s="523">
        <f t="shared" si="1"/>
        <v>1519313425.3099997</v>
      </c>
      <c r="R13" s="514">
        <f t="shared" si="1"/>
        <v>2265734178.9900002</v>
      </c>
      <c r="S13" s="467">
        <f>Q13/L13</f>
        <v>0.40139876274844866</v>
      </c>
    </row>
    <row r="14" spans="1:19" s="8" customFormat="1" ht="28.8" x14ac:dyDescent="0.2">
      <c r="A14" s="432"/>
      <c r="B14" s="420" t="s">
        <v>53</v>
      </c>
      <c r="C14" s="654" t="s">
        <v>279</v>
      </c>
      <c r="D14" s="422">
        <f t="shared" ref="D14" si="3">SUM(D15:D17)</f>
        <v>2003639650.9100001</v>
      </c>
      <c r="E14" s="422">
        <f t="shared" ref="E14:R14" si="4">SUM(E15:E17)</f>
        <v>0</v>
      </c>
      <c r="F14" s="422">
        <f t="shared" si="4"/>
        <v>0</v>
      </c>
      <c r="G14" s="422">
        <f t="shared" si="4"/>
        <v>0</v>
      </c>
      <c r="H14" s="422">
        <f t="shared" si="4"/>
        <v>0</v>
      </c>
      <c r="I14" s="422">
        <f t="shared" ref="I14" si="5">SUM(I15:I17)</f>
        <v>0</v>
      </c>
      <c r="J14" s="422">
        <f t="shared" si="4"/>
        <v>0</v>
      </c>
      <c r="K14" s="422">
        <f t="shared" si="4"/>
        <v>0</v>
      </c>
      <c r="L14" s="507">
        <f t="shared" si="4"/>
        <v>2003639650.9100001</v>
      </c>
      <c r="M14" s="524">
        <v>353142367.65999997</v>
      </c>
      <c r="N14" s="422">
        <v>121057430.66999999</v>
      </c>
      <c r="O14" s="422">
        <v>121427097.54000007</v>
      </c>
      <c r="P14" s="422">
        <f t="shared" si="4"/>
        <v>119949007.73999996</v>
      </c>
      <c r="Q14" s="525">
        <f t="shared" si="4"/>
        <v>715575903.61000001</v>
      </c>
      <c r="R14" s="515">
        <f t="shared" si="4"/>
        <v>1288063747.3</v>
      </c>
      <c r="S14" s="468">
        <f t="shared" ref="S14:S77" si="6">Q14/L14</f>
        <v>0.3571380229399056</v>
      </c>
    </row>
    <row r="15" spans="1:19" s="8" customFormat="1" x14ac:dyDescent="0.2">
      <c r="A15" s="433" t="s">
        <v>52</v>
      </c>
      <c r="B15" s="423" t="s">
        <v>280</v>
      </c>
      <c r="C15" s="424" t="s">
        <v>281</v>
      </c>
      <c r="D15" s="425">
        <v>1953639650.9100001</v>
      </c>
      <c r="E15" s="425">
        <v>0</v>
      </c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f>SUM(E15:J15)</f>
        <v>0</v>
      </c>
      <c r="L15" s="508">
        <f>D15+K15</f>
        <v>1953639650.9100001</v>
      </c>
      <c r="M15" s="526">
        <v>350871889.00999999</v>
      </c>
      <c r="N15" s="425">
        <v>120276306.07999998</v>
      </c>
      <c r="O15" s="425">
        <v>120991405.74000007</v>
      </c>
      <c r="P15" s="425">
        <f>Q15-M15-N15-O15</f>
        <v>119416495.53999996</v>
      </c>
      <c r="Q15" s="527">
        <v>711556096.37</v>
      </c>
      <c r="R15" s="516">
        <f>L15-Q15</f>
        <v>1242083554.54</v>
      </c>
      <c r="S15" s="469">
        <f t="shared" si="6"/>
        <v>0.36422074871307974</v>
      </c>
    </row>
    <row r="16" spans="1:19" s="7" customFormat="1" hidden="1" x14ac:dyDescent="0.2">
      <c r="A16" s="433" t="s">
        <v>52</v>
      </c>
      <c r="B16" s="423" t="s">
        <v>282</v>
      </c>
      <c r="C16" s="424" t="s">
        <v>283</v>
      </c>
      <c r="D16" s="425"/>
      <c r="E16" s="425">
        <v>0</v>
      </c>
      <c r="F16" s="425">
        <v>0</v>
      </c>
      <c r="G16" s="425">
        <v>0</v>
      </c>
      <c r="H16" s="425">
        <v>0</v>
      </c>
      <c r="I16" s="425">
        <v>0</v>
      </c>
      <c r="J16" s="425">
        <v>0</v>
      </c>
      <c r="K16" s="425">
        <f t="shared" ref="K16:K17" si="7">SUM(E16:J16)</f>
        <v>0</v>
      </c>
      <c r="L16" s="508">
        <f t="shared" ref="L16:L17" si="8">D16+K16</f>
        <v>0</v>
      </c>
      <c r="M16" s="526">
        <v>0</v>
      </c>
      <c r="N16" s="425">
        <v>0</v>
      </c>
      <c r="O16" s="425">
        <v>0</v>
      </c>
      <c r="P16" s="425">
        <v>0</v>
      </c>
      <c r="Q16" s="527">
        <v>0</v>
      </c>
      <c r="R16" s="516">
        <f>L16-Q16</f>
        <v>0</v>
      </c>
      <c r="S16" s="469" t="e">
        <f t="shared" si="6"/>
        <v>#DIV/0!</v>
      </c>
    </row>
    <row r="17" spans="1:19" s="7" customFormat="1" x14ac:dyDescent="0.2">
      <c r="A17" s="433" t="s">
        <v>52</v>
      </c>
      <c r="B17" s="423" t="s">
        <v>284</v>
      </c>
      <c r="C17" s="424" t="s">
        <v>54</v>
      </c>
      <c r="D17" s="425">
        <v>50000000</v>
      </c>
      <c r="E17" s="425">
        <v>0</v>
      </c>
      <c r="F17" s="425">
        <v>0</v>
      </c>
      <c r="G17" s="425">
        <v>0</v>
      </c>
      <c r="H17" s="425">
        <v>0</v>
      </c>
      <c r="I17" s="425">
        <v>0</v>
      </c>
      <c r="J17" s="425">
        <v>0</v>
      </c>
      <c r="K17" s="425">
        <f t="shared" si="7"/>
        <v>0</v>
      </c>
      <c r="L17" s="508">
        <f t="shared" si="8"/>
        <v>50000000</v>
      </c>
      <c r="M17" s="526">
        <v>2270478.65</v>
      </c>
      <c r="N17" s="425">
        <v>781124.59000000032</v>
      </c>
      <c r="O17" s="425">
        <v>435691.79999999981</v>
      </c>
      <c r="P17" s="425">
        <f>Q17-M17-N17-O17</f>
        <v>532512.20000000019</v>
      </c>
      <c r="Q17" s="527">
        <v>4019807.24</v>
      </c>
      <c r="R17" s="516">
        <f>L17-Q17</f>
        <v>45980192.759999998</v>
      </c>
      <c r="S17" s="469">
        <f t="shared" si="6"/>
        <v>8.03961448E-2</v>
      </c>
    </row>
    <row r="18" spans="1:19" s="7" customFormat="1" ht="28.8" x14ac:dyDescent="0.3">
      <c r="A18" s="432" t="s">
        <v>52</v>
      </c>
      <c r="B18" s="427" t="s">
        <v>55</v>
      </c>
      <c r="C18" s="654" t="s">
        <v>285</v>
      </c>
      <c r="D18" s="422">
        <f t="shared" ref="D18" si="9">SUM(D19:D22)</f>
        <v>72000000</v>
      </c>
      <c r="E18" s="422">
        <f t="shared" ref="E18:R18" si="10">SUM(E19:E22)</f>
        <v>0</v>
      </c>
      <c r="F18" s="422">
        <f t="shared" si="10"/>
        <v>0</v>
      </c>
      <c r="G18" s="422">
        <f t="shared" si="10"/>
        <v>0</v>
      </c>
      <c r="H18" s="422">
        <f t="shared" si="10"/>
        <v>0</v>
      </c>
      <c r="I18" s="422">
        <f t="shared" ref="I18" si="11">SUM(I19:I22)</f>
        <v>0</v>
      </c>
      <c r="J18" s="422">
        <f t="shared" si="10"/>
        <v>0</v>
      </c>
      <c r="K18" s="422">
        <f t="shared" si="10"/>
        <v>0</v>
      </c>
      <c r="L18" s="507">
        <f t="shared" si="10"/>
        <v>72000000</v>
      </c>
      <c r="M18" s="524">
        <v>7848832.1400000006</v>
      </c>
      <c r="N18" s="422">
        <v>2239851.6199999996</v>
      </c>
      <c r="O18" s="422">
        <v>2000533.1099999999</v>
      </c>
      <c r="P18" s="422">
        <f t="shared" si="10"/>
        <v>5035342.0600000005</v>
      </c>
      <c r="Q18" s="525">
        <f t="shared" si="10"/>
        <v>17124558.93</v>
      </c>
      <c r="R18" s="515">
        <f t="shared" si="10"/>
        <v>54875441.070000008</v>
      </c>
      <c r="S18" s="468">
        <f t="shared" si="6"/>
        <v>0.23784109624999999</v>
      </c>
    </row>
    <row r="19" spans="1:19" s="7" customFormat="1" x14ac:dyDescent="0.2">
      <c r="A19" s="433" t="s">
        <v>52</v>
      </c>
      <c r="B19" s="423" t="s">
        <v>286</v>
      </c>
      <c r="C19" s="424" t="s">
        <v>287</v>
      </c>
      <c r="D19" s="425">
        <v>60000000</v>
      </c>
      <c r="E19" s="425">
        <v>0</v>
      </c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f t="shared" ref="K19:K21" si="12">SUM(E19:J19)</f>
        <v>0</v>
      </c>
      <c r="L19" s="508">
        <f t="shared" ref="L19:L21" si="13">D19+K19</f>
        <v>60000000</v>
      </c>
      <c r="M19" s="526">
        <v>5602389.71</v>
      </c>
      <c r="N19" s="425">
        <v>1309273.8799999999</v>
      </c>
      <c r="O19" s="425">
        <v>1469852.5099999998</v>
      </c>
      <c r="P19" s="425">
        <f t="shared" ref="P19:P21" si="14">Q19-M19-N19-O19</f>
        <v>4508315.0600000005</v>
      </c>
      <c r="Q19" s="527">
        <v>12889831.16</v>
      </c>
      <c r="R19" s="516">
        <f t="shared" ref="R19:R22" si="15">L19-Q19</f>
        <v>47110168.840000004</v>
      </c>
      <c r="S19" s="469">
        <f t="shared" si="6"/>
        <v>0.21483051933333333</v>
      </c>
    </row>
    <row r="20" spans="1:19" s="7" customFormat="1" x14ac:dyDescent="0.2">
      <c r="A20" s="433" t="s">
        <v>52</v>
      </c>
      <c r="B20" s="423" t="s">
        <v>288</v>
      </c>
      <c r="C20" s="424" t="s">
        <v>56</v>
      </c>
      <c r="D20" s="425">
        <v>2000000</v>
      </c>
      <c r="E20" s="425">
        <v>0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f t="shared" si="12"/>
        <v>0</v>
      </c>
      <c r="L20" s="508">
        <f t="shared" si="13"/>
        <v>2000000</v>
      </c>
      <c r="M20" s="526">
        <v>0</v>
      </c>
      <c r="N20" s="425">
        <v>263513.5</v>
      </c>
      <c r="O20" s="425">
        <v>527027</v>
      </c>
      <c r="P20" s="425">
        <f t="shared" si="14"/>
        <v>527027</v>
      </c>
      <c r="Q20" s="527">
        <v>1317567.5</v>
      </c>
      <c r="R20" s="516">
        <f t="shared" si="15"/>
        <v>682432.5</v>
      </c>
      <c r="S20" s="469">
        <f t="shared" si="6"/>
        <v>0.65878375</v>
      </c>
    </row>
    <row r="21" spans="1:19" s="7" customFormat="1" x14ac:dyDescent="0.2">
      <c r="A21" s="433" t="s">
        <v>52</v>
      </c>
      <c r="B21" s="423" t="s">
        <v>289</v>
      </c>
      <c r="C21" s="424" t="s">
        <v>57</v>
      </c>
      <c r="D21" s="425">
        <v>10000000</v>
      </c>
      <c r="E21" s="425">
        <v>0</v>
      </c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f t="shared" si="12"/>
        <v>0</v>
      </c>
      <c r="L21" s="508">
        <f t="shared" si="13"/>
        <v>10000000</v>
      </c>
      <c r="M21" s="526">
        <v>2246442.4300000002</v>
      </c>
      <c r="N21" s="425">
        <v>667064.23999999976</v>
      </c>
      <c r="O21" s="425">
        <v>3653.6000000000931</v>
      </c>
      <c r="P21" s="425">
        <f t="shared" si="14"/>
        <v>0</v>
      </c>
      <c r="Q21" s="527">
        <v>2917160.27</v>
      </c>
      <c r="R21" s="516">
        <f t="shared" si="15"/>
        <v>7082839.7300000004</v>
      </c>
      <c r="S21" s="469">
        <f t="shared" si="6"/>
        <v>0.29171602699999999</v>
      </c>
    </row>
    <row r="22" spans="1:19" s="7" customFormat="1" hidden="1" x14ac:dyDescent="0.2">
      <c r="A22" s="433" t="s">
        <v>52</v>
      </c>
      <c r="B22" s="423" t="s">
        <v>290</v>
      </c>
      <c r="C22" s="424" t="s">
        <v>58</v>
      </c>
      <c r="D22" s="425">
        <v>0</v>
      </c>
      <c r="E22" s="425">
        <v>0</v>
      </c>
      <c r="F22" s="425">
        <v>0</v>
      </c>
      <c r="G22" s="425">
        <v>0</v>
      </c>
      <c r="H22" s="425">
        <v>0</v>
      </c>
      <c r="I22" s="425">
        <v>0</v>
      </c>
      <c r="J22" s="425">
        <v>0</v>
      </c>
      <c r="K22" s="425">
        <f t="shared" ref="K22" si="16">SUM(E22:J22)</f>
        <v>0</v>
      </c>
      <c r="L22" s="508">
        <f t="shared" ref="L22" si="17">D22+K22</f>
        <v>0</v>
      </c>
      <c r="M22" s="526">
        <v>0</v>
      </c>
      <c r="N22" s="425">
        <v>0</v>
      </c>
      <c r="O22" s="425">
        <v>0</v>
      </c>
      <c r="P22" s="425">
        <v>0</v>
      </c>
      <c r="Q22" s="527">
        <v>0</v>
      </c>
      <c r="R22" s="516">
        <f t="shared" si="15"/>
        <v>0</v>
      </c>
      <c r="S22" s="469" t="e">
        <f t="shared" ref="S22" si="18">Q22/L22</f>
        <v>#DIV/0!</v>
      </c>
    </row>
    <row r="23" spans="1:19" s="7" customFormat="1" x14ac:dyDescent="0.3">
      <c r="A23" s="432" t="s">
        <v>52</v>
      </c>
      <c r="B23" s="427" t="s">
        <v>59</v>
      </c>
      <c r="C23" s="654" t="s">
        <v>291</v>
      </c>
      <c r="D23" s="422">
        <f t="shared" ref="D23" si="19">SUM(D24:D28)</f>
        <v>880657152.45000005</v>
      </c>
      <c r="E23" s="422">
        <f t="shared" ref="E23:R23" si="20">SUM(E24:E28)</f>
        <v>0</v>
      </c>
      <c r="F23" s="422">
        <f t="shared" si="20"/>
        <v>0</v>
      </c>
      <c r="G23" s="422">
        <f t="shared" si="20"/>
        <v>0</v>
      </c>
      <c r="H23" s="422">
        <f t="shared" si="20"/>
        <v>0</v>
      </c>
      <c r="I23" s="422">
        <f t="shared" ref="I23" si="21">SUM(I24:I28)</f>
        <v>0</v>
      </c>
      <c r="J23" s="422">
        <f t="shared" si="20"/>
        <v>0</v>
      </c>
      <c r="K23" s="422">
        <f t="shared" si="20"/>
        <v>0</v>
      </c>
      <c r="L23" s="507">
        <f t="shared" si="20"/>
        <v>880657152.45000005</v>
      </c>
      <c r="M23" s="524">
        <v>301269490.99000001</v>
      </c>
      <c r="N23" s="422">
        <v>45965017.050000012</v>
      </c>
      <c r="O23" s="422">
        <v>43784577.839999996</v>
      </c>
      <c r="P23" s="422">
        <f t="shared" si="20"/>
        <v>45021981.229999982</v>
      </c>
      <c r="Q23" s="525">
        <f t="shared" si="20"/>
        <v>436041067.10999995</v>
      </c>
      <c r="R23" s="515">
        <f t="shared" si="20"/>
        <v>444616085.34000003</v>
      </c>
      <c r="S23" s="468">
        <f t="shared" si="6"/>
        <v>0.49513146619763188</v>
      </c>
    </row>
    <row r="24" spans="1:19" s="7" customFormat="1" ht="28.8" x14ac:dyDescent="0.2">
      <c r="A24" s="433" t="s">
        <v>52</v>
      </c>
      <c r="B24" s="423" t="s">
        <v>292</v>
      </c>
      <c r="C24" s="424" t="s">
        <v>60</v>
      </c>
      <c r="D24" s="425">
        <v>161699688</v>
      </c>
      <c r="E24" s="425">
        <v>0</v>
      </c>
      <c r="F24" s="425">
        <v>0</v>
      </c>
      <c r="G24" s="425">
        <v>0</v>
      </c>
      <c r="H24" s="425">
        <v>0</v>
      </c>
      <c r="I24" s="425">
        <v>0</v>
      </c>
      <c r="J24" s="425">
        <v>0</v>
      </c>
      <c r="K24" s="425">
        <f t="shared" ref="K24:K28" si="22">SUM(E24:J24)</f>
        <v>0</v>
      </c>
      <c r="L24" s="508">
        <f t="shared" ref="L24:L28" si="23">D24+K24</f>
        <v>161699688</v>
      </c>
      <c r="M24" s="526">
        <v>41561967.539999999</v>
      </c>
      <c r="N24" s="425">
        <v>13626103.530000001</v>
      </c>
      <c r="O24" s="425">
        <v>13538520.160000004</v>
      </c>
      <c r="P24" s="425">
        <f t="shared" ref="P24:P28" si="24">Q24-M24-N24-O24</f>
        <v>13506485.649999991</v>
      </c>
      <c r="Q24" s="527">
        <v>82233076.879999995</v>
      </c>
      <c r="R24" s="516">
        <f t="shared" ref="R24:R28" si="25">L24-Q24</f>
        <v>79466611.120000005</v>
      </c>
      <c r="S24" s="469">
        <f t="shared" si="6"/>
        <v>0.50855433239920655</v>
      </c>
    </row>
    <row r="25" spans="1:19" s="7" customFormat="1" ht="28.8" x14ac:dyDescent="0.2">
      <c r="A25" s="433" t="s">
        <v>52</v>
      </c>
      <c r="B25" s="423" t="s">
        <v>293</v>
      </c>
      <c r="C25" s="424" t="s">
        <v>294</v>
      </c>
      <c r="D25" s="425">
        <v>218724056.52000001</v>
      </c>
      <c r="E25" s="425">
        <v>0</v>
      </c>
      <c r="F25" s="425">
        <v>0</v>
      </c>
      <c r="G25" s="425">
        <v>0</v>
      </c>
      <c r="H25" s="425">
        <v>0</v>
      </c>
      <c r="I25" s="425">
        <v>0</v>
      </c>
      <c r="J25" s="425">
        <v>0</v>
      </c>
      <c r="K25" s="425">
        <f t="shared" si="22"/>
        <v>0</v>
      </c>
      <c r="L25" s="508">
        <f t="shared" si="23"/>
        <v>218724056.52000001</v>
      </c>
      <c r="M25" s="526">
        <v>74739745.810000002</v>
      </c>
      <c r="N25" s="425">
        <v>24824379</v>
      </c>
      <c r="O25" s="425">
        <v>24559693.569999993</v>
      </c>
      <c r="P25" s="425">
        <f t="shared" si="24"/>
        <v>24376264.840000004</v>
      </c>
      <c r="Q25" s="527">
        <v>148500083.22</v>
      </c>
      <c r="R25" s="516">
        <f t="shared" si="25"/>
        <v>70223973.300000012</v>
      </c>
      <c r="S25" s="469">
        <f t="shared" si="6"/>
        <v>0.67893804450550332</v>
      </c>
    </row>
    <row r="26" spans="1:19" s="7" customFormat="1" x14ac:dyDescent="0.2">
      <c r="A26" s="433" t="s">
        <v>52</v>
      </c>
      <c r="B26" s="423" t="s">
        <v>295</v>
      </c>
      <c r="C26" s="424" t="s">
        <v>296</v>
      </c>
      <c r="D26" s="425">
        <v>227406606.75</v>
      </c>
      <c r="E26" s="425">
        <v>0</v>
      </c>
      <c r="F26" s="425">
        <v>0</v>
      </c>
      <c r="G26" s="425">
        <v>0</v>
      </c>
      <c r="H26" s="425">
        <v>0</v>
      </c>
      <c r="I26" s="425">
        <v>0</v>
      </c>
      <c r="J26" s="425">
        <v>0</v>
      </c>
      <c r="K26" s="425">
        <f t="shared" si="22"/>
        <v>0</v>
      </c>
      <c r="L26" s="508">
        <f t="shared" si="23"/>
        <v>227406606.75</v>
      </c>
      <c r="M26" s="526">
        <v>718968.28</v>
      </c>
      <c r="N26" s="425">
        <v>346855.80000000005</v>
      </c>
      <c r="O26" s="425">
        <v>0</v>
      </c>
      <c r="P26" s="425">
        <f t="shared" si="24"/>
        <v>973045.42999999993</v>
      </c>
      <c r="Q26" s="527">
        <v>2038869.51</v>
      </c>
      <c r="R26" s="516">
        <f t="shared" si="25"/>
        <v>225367737.24000001</v>
      </c>
      <c r="S26" s="469">
        <f t="shared" si="6"/>
        <v>8.9657443956385838E-3</v>
      </c>
    </row>
    <row r="27" spans="1:19" s="7" customFormat="1" x14ac:dyDescent="0.2">
      <c r="A27" s="433" t="s">
        <v>52</v>
      </c>
      <c r="B27" s="423" t="s">
        <v>297</v>
      </c>
      <c r="C27" s="424" t="s">
        <v>298</v>
      </c>
      <c r="D27" s="425">
        <v>209837121.18000001</v>
      </c>
      <c r="E27" s="425">
        <v>0</v>
      </c>
      <c r="F27" s="425">
        <v>0</v>
      </c>
      <c r="G27" s="425">
        <v>0</v>
      </c>
      <c r="H27" s="425">
        <v>0</v>
      </c>
      <c r="I27" s="425">
        <v>0</v>
      </c>
      <c r="J27" s="425">
        <v>0</v>
      </c>
      <c r="K27" s="425">
        <f t="shared" si="22"/>
        <v>0</v>
      </c>
      <c r="L27" s="508">
        <f t="shared" si="23"/>
        <v>209837121.18000001</v>
      </c>
      <c r="M27" s="526">
        <v>166394962.59999999</v>
      </c>
      <c r="N27" s="425">
        <v>108195.30000001192</v>
      </c>
      <c r="O27" s="425">
        <v>0</v>
      </c>
      <c r="P27" s="425">
        <f t="shared" si="24"/>
        <v>506377.41999998689</v>
      </c>
      <c r="Q27" s="527">
        <v>167009535.31999999</v>
      </c>
      <c r="R27" s="516">
        <f t="shared" si="25"/>
        <v>42827585.860000014</v>
      </c>
      <c r="S27" s="469">
        <f t="shared" si="6"/>
        <v>0.79590081288209169</v>
      </c>
    </row>
    <row r="28" spans="1:19" s="7" customFormat="1" x14ac:dyDescent="0.2">
      <c r="A28" s="433" t="s">
        <v>52</v>
      </c>
      <c r="B28" s="423" t="s">
        <v>299</v>
      </c>
      <c r="C28" s="424" t="s">
        <v>300</v>
      </c>
      <c r="D28" s="425">
        <v>62989680</v>
      </c>
      <c r="E28" s="425">
        <v>0</v>
      </c>
      <c r="F28" s="425">
        <v>0</v>
      </c>
      <c r="G28" s="425">
        <v>0</v>
      </c>
      <c r="H28" s="425">
        <v>0</v>
      </c>
      <c r="I28" s="425">
        <v>0</v>
      </c>
      <c r="J28" s="425">
        <v>0</v>
      </c>
      <c r="K28" s="425">
        <f t="shared" si="22"/>
        <v>0</v>
      </c>
      <c r="L28" s="508">
        <f t="shared" si="23"/>
        <v>62989680</v>
      </c>
      <c r="M28" s="526">
        <v>17853846.760000002</v>
      </c>
      <c r="N28" s="425">
        <v>7059483.4199999981</v>
      </c>
      <c r="O28" s="425">
        <v>5686364.1099999994</v>
      </c>
      <c r="P28" s="425">
        <f t="shared" si="24"/>
        <v>5659807.8900000006</v>
      </c>
      <c r="Q28" s="527">
        <v>36259502.18</v>
      </c>
      <c r="R28" s="516">
        <f t="shared" si="25"/>
        <v>26730177.82</v>
      </c>
      <c r="S28" s="469">
        <f t="shared" si="6"/>
        <v>0.57564194928439072</v>
      </c>
    </row>
    <row r="29" spans="1:19" s="7" customFormat="1" ht="28.8" x14ac:dyDescent="0.3">
      <c r="A29" s="432" t="s">
        <v>61</v>
      </c>
      <c r="B29" s="427" t="s">
        <v>62</v>
      </c>
      <c r="C29" s="654" t="s">
        <v>494</v>
      </c>
      <c r="D29" s="422">
        <f t="shared" ref="D29" si="26">SUM(D30:D34)</f>
        <v>457089107.93000007</v>
      </c>
      <c r="E29" s="422">
        <f t="shared" ref="E29:R29" si="27">SUM(E30:E34)</f>
        <v>0</v>
      </c>
      <c r="F29" s="422">
        <f t="shared" si="27"/>
        <v>0</v>
      </c>
      <c r="G29" s="422">
        <f t="shared" si="27"/>
        <v>0</v>
      </c>
      <c r="H29" s="422">
        <f t="shared" si="27"/>
        <v>0</v>
      </c>
      <c r="I29" s="422">
        <f t="shared" ref="I29" si="28">SUM(I30:I34)</f>
        <v>0</v>
      </c>
      <c r="J29" s="422">
        <f t="shared" si="27"/>
        <v>0</v>
      </c>
      <c r="K29" s="422">
        <f t="shared" si="27"/>
        <v>0</v>
      </c>
      <c r="L29" s="507">
        <f t="shared" si="27"/>
        <v>457089107.93000007</v>
      </c>
      <c r="M29" s="524">
        <v>110648551.15000001</v>
      </c>
      <c r="N29" s="422">
        <v>28256465.580000006</v>
      </c>
      <c r="O29" s="422">
        <v>28278945.949999988</v>
      </c>
      <c r="P29" s="422">
        <f t="shared" si="27"/>
        <v>28266579.380000003</v>
      </c>
      <c r="Q29" s="525">
        <f t="shared" si="27"/>
        <v>195450542.06</v>
      </c>
      <c r="R29" s="515">
        <f t="shared" si="27"/>
        <v>261638565.87000003</v>
      </c>
      <c r="S29" s="468">
        <f t="shared" si="6"/>
        <v>0.42759833623060617</v>
      </c>
    </row>
    <row r="30" spans="1:19" s="7" customFormat="1" ht="28.8" x14ac:dyDescent="0.2">
      <c r="A30" s="435" t="s">
        <v>61</v>
      </c>
      <c r="B30" s="423" t="s">
        <v>301</v>
      </c>
      <c r="C30" s="424" t="s">
        <v>493</v>
      </c>
      <c r="D30" s="425">
        <v>252422343.19</v>
      </c>
      <c r="E30" s="425">
        <v>0</v>
      </c>
      <c r="F30" s="425">
        <v>0</v>
      </c>
      <c r="G30" s="425">
        <v>0</v>
      </c>
      <c r="H30" s="425">
        <v>0</v>
      </c>
      <c r="I30" s="425">
        <v>0</v>
      </c>
      <c r="J30" s="425">
        <v>0</v>
      </c>
      <c r="K30" s="425">
        <f t="shared" ref="K30:K34" si="29">SUM(E30:J30)</f>
        <v>0</v>
      </c>
      <c r="L30" s="508">
        <f t="shared" ref="L30:L34" si="30">D30+K30</f>
        <v>252422343.19</v>
      </c>
      <c r="M30" s="526">
        <v>61156230.57</v>
      </c>
      <c r="N30" s="425">
        <v>15607572.860000007</v>
      </c>
      <c r="O30" s="425">
        <v>15777556.039999992</v>
      </c>
      <c r="P30" s="425">
        <f t="shared" ref="P30:P34" si="31">Q30-M30-N30-O30</f>
        <v>15610933.480000004</v>
      </c>
      <c r="Q30" s="527">
        <v>108152292.95</v>
      </c>
      <c r="R30" s="516">
        <f t="shared" ref="R30:R34" si="32">L30-Q30</f>
        <v>144270050.24000001</v>
      </c>
      <c r="S30" s="469">
        <f t="shared" si="6"/>
        <v>0.42845768557260022</v>
      </c>
    </row>
    <row r="31" spans="1:19" s="7" customFormat="1" ht="28.8" x14ac:dyDescent="0.2">
      <c r="A31" s="433" t="s">
        <v>61</v>
      </c>
      <c r="B31" s="423" t="s">
        <v>302</v>
      </c>
      <c r="C31" s="424" t="s">
        <v>492</v>
      </c>
      <c r="D31" s="425">
        <v>13644450.98</v>
      </c>
      <c r="E31" s="425">
        <v>0</v>
      </c>
      <c r="F31" s="425">
        <v>0</v>
      </c>
      <c r="G31" s="425">
        <v>0</v>
      </c>
      <c r="H31" s="425">
        <v>0</v>
      </c>
      <c r="I31" s="425">
        <v>0</v>
      </c>
      <c r="J31" s="425">
        <v>0</v>
      </c>
      <c r="K31" s="425">
        <f t="shared" si="29"/>
        <v>0</v>
      </c>
      <c r="L31" s="508">
        <f t="shared" si="30"/>
        <v>13644450.98</v>
      </c>
      <c r="M31" s="526">
        <v>3299489.04</v>
      </c>
      <c r="N31" s="425">
        <v>843259.98999999976</v>
      </c>
      <c r="O31" s="425">
        <v>833426.35999999987</v>
      </c>
      <c r="P31" s="425">
        <f t="shared" si="31"/>
        <v>843710.04</v>
      </c>
      <c r="Q31" s="527">
        <v>5819885.4299999997</v>
      </c>
      <c r="R31" s="516">
        <f t="shared" si="32"/>
        <v>7824565.5500000007</v>
      </c>
      <c r="S31" s="469">
        <f t="shared" si="6"/>
        <v>0.42653863013841831</v>
      </c>
    </row>
    <row r="32" spans="1:19" s="7" customFormat="1" ht="28.8" x14ac:dyDescent="0.2">
      <c r="A32" s="433" t="s">
        <v>61</v>
      </c>
      <c r="B32" s="423" t="s">
        <v>303</v>
      </c>
      <c r="C32" s="424" t="s">
        <v>491</v>
      </c>
      <c r="D32" s="425">
        <v>40933352.950000003</v>
      </c>
      <c r="E32" s="425">
        <v>0</v>
      </c>
      <c r="F32" s="425">
        <v>0</v>
      </c>
      <c r="G32" s="425">
        <v>0</v>
      </c>
      <c r="H32" s="425">
        <v>0</v>
      </c>
      <c r="I32" s="425">
        <v>0</v>
      </c>
      <c r="J32" s="425">
        <v>0</v>
      </c>
      <c r="K32" s="425">
        <f t="shared" si="29"/>
        <v>0</v>
      </c>
      <c r="L32" s="508">
        <f t="shared" si="30"/>
        <v>40933352.950000003</v>
      </c>
      <c r="M32" s="526">
        <v>9898464.0700000003</v>
      </c>
      <c r="N32" s="425">
        <v>2529779.0999999996</v>
      </c>
      <c r="O32" s="425">
        <v>2500277.9399999995</v>
      </c>
      <c r="P32" s="425">
        <f t="shared" si="31"/>
        <v>2531129.1099999994</v>
      </c>
      <c r="Q32" s="527">
        <v>17459650.219999999</v>
      </c>
      <c r="R32" s="516">
        <f t="shared" si="32"/>
        <v>23473702.730000004</v>
      </c>
      <c r="S32" s="469">
        <f t="shared" si="6"/>
        <v>0.42653848174438391</v>
      </c>
    </row>
    <row r="33" spans="1:19" s="7" customFormat="1" ht="28.8" x14ac:dyDescent="0.2">
      <c r="A33" s="433" t="s">
        <v>61</v>
      </c>
      <c r="B33" s="423" t="s">
        <v>304</v>
      </c>
      <c r="C33" s="424" t="s">
        <v>490</v>
      </c>
      <c r="D33" s="425">
        <v>136444509.83000001</v>
      </c>
      <c r="E33" s="425">
        <v>0</v>
      </c>
      <c r="F33" s="425">
        <v>0</v>
      </c>
      <c r="G33" s="425">
        <v>0</v>
      </c>
      <c r="H33" s="425">
        <v>0</v>
      </c>
      <c r="I33" s="425">
        <v>0</v>
      </c>
      <c r="J33" s="425">
        <v>0</v>
      </c>
      <c r="K33" s="425">
        <f t="shared" si="29"/>
        <v>0</v>
      </c>
      <c r="L33" s="508">
        <f t="shared" si="30"/>
        <v>136444509.83000001</v>
      </c>
      <c r="M33" s="526">
        <v>32994878.420000002</v>
      </c>
      <c r="N33" s="425">
        <v>8432596.6400000006</v>
      </c>
      <c r="O33" s="425">
        <v>8334259.25</v>
      </c>
      <c r="P33" s="425">
        <f t="shared" si="31"/>
        <v>8437096.7100000009</v>
      </c>
      <c r="Q33" s="527">
        <v>58198831.020000003</v>
      </c>
      <c r="R33" s="516">
        <f t="shared" si="32"/>
        <v>78245678.810000002</v>
      </c>
      <c r="S33" s="469">
        <f t="shared" si="6"/>
        <v>0.42653845942582475</v>
      </c>
    </row>
    <row r="34" spans="1:19" s="7" customFormat="1" ht="28.8" x14ac:dyDescent="0.2">
      <c r="A34" s="433" t="s">
        <v>61</v>
      </c>
      <c r="B34" s="423" t="s">
        <v>305</v>
      </c>
      <c r="C34" s="424" t="s">
        <v>488</v>
      </c>
      <c r="D34" s="425">
        <v>13644450.98</v>
      </c>
      <c r="E34" s="425">
        <v>0</v>
      </c>
      <c r="F34" s="425">
        <v>0</v>
      </c>
      <c r="G34" s="425">
        <v>0</v>
      </c>
      <c r="H34" s="425">
        <v>0</v>
      </c>
      <c r="I34" s="425">
        <v>0</v>
      </c>
      <c r="J34" s="425">
        <v>0</v>
      </c>
      <c r="K34" s="425">
        <f t="shared" si="29"/>
        <v>0</v>
      </c>
      <c r="L34" s="508">
        <f t="shared" si="30"/>
        <v>13644450.98</v>
      </c>
      <c r="M34" s="526">
        <v>3299489.05</v>
      </c>
      <c r="N34" s="425">
        <v>843256.99000000022</v>
      </c>
      <c r="O34" s="425">
        <v>833426.36000000034</v>
      </c>
      <c r="P34" s="425">
        <f t="shared" si="31"/>
        <v>843710.04</v>
      </c>
      <c r="Q34" s="527">
        <v>5819882.4400000004</v>
      </c>
      <c r="R34" s="516">
        <f t="shared" si="32"/>
        <v>7824568.54</v>
      </c>
      <c r="S34" s="469">
        <f t="shared" si="6"/>
        <v>0.42653841100171552</v>
      </c>
    </row>
    <row r="35" spans="1:19" s="7" customFormat="1" ht="28.8" x14ac:dyDescent="0.3">
      <c r="A35" s="436" t="s">
        <v>61</v>
      </c>
      <c r="B35" s="427" t="s">
        <v>63</v>
      </c>
      <c r="C35" s="654" t="s">
        <v>487</v>
      </c>
      <c r="D35" s="422">
        <f t="shared" ref="D35" si="33">SUM(D36:D39)</f>
        <v>371661693.00999999</v>
      </c>
      <c r="E35" s="422">
        <f t="shared" ref="E35:R35" si="34">SUM(E36:E39)</f>
        <v>0</v>
      </c>
      <c r="F35" s="422">
        <f t="shared" si="34"/>
        <v>0</v>
      </c>
      <c r="G35" s="422">
        <f t="shared" si="34"/>
        <v>0</v>
      </c>
      <c r="H35" s="422">
        <f t="shared" si="34"/>
        <v>0</v>
      </c>
      <c r="I35" s="422">
        <f t="shared" ref="I35" si="35">SUM(I36:I39)</f>
        <v>0</v>
      </c>
      <c r="J35" s="422">
        <f t="shared" si="34"/>
        <v>0</v>
      </c>
      <c r="K35" s="422">
        <f t="shared" si="34"/>
        <v>0</v>
      </c>
      <c r="L35" s="507">
        <f t="shared" si="34"/>
        <v>371661693.00999999</v>
      </c>
      <c r="M35" s="524">
        <v>88033044.420000002</v>
      </c>
      <c r="N35" s="422">
        <v>22483573.329999998</v>
      </c>
      <c r="O35" s="422">
        <v>22231286.270000007</v>
      </c>
      <c r="P35" s="422">
        <f t="shared" si="34"/>
        <v>22373449.579999994</v>
      </c>
      <c r="Q35" s="525">
        <f t="shared" si="34"/>
        <v>155121353.59999999</v>
      </c>
      <c r="R35" s="515">
        <f t="shared" si="34"/>
        <v>216540339.41000003</v>
      </c>
      <c r="S35" s="468">
        <f t="shared" si="6"/>
        <v>0.41737245596582445</v>
      </c>
    </row>
    <row r="36" spans="1:19" s="7" customFormat="1" ht="28.8" x14ac:dyDescent="0.2">
      <c r="A36" s="435" t="s">
        <v>61</v>
      </c>
      <c r="B36" s="423" t="s">
        <v>306</v>
      </c>
      <c r="C36" s="424" t="s">
        <v>464</v>
      </c>
      <c r="D36" s="425">
        <v>152272072.97</v>
      </c>
      <c r="E36" s="425">
        <v>0</v>
      </c>
      <c r="F36" s="425">
        <v>0</v>
      </c>
      <c r="G36" s="425">
        <v>0</v>
      </c>
      <c r="H36" s="425">
        <v>0</v>
      </c>
      <c r="I36" s="425">
        <v>0</v>
      </c>
      <c r="J36" s="425">
        <v>0</v>
      </c>
      <c r="K36" s="425">
        <f t="shared" ref="K36:K39" si="36">SUM(E36:J36)</f>
        <v>0</v>
      </c>
      <c r="L36" s="508">
        <f t="shared" ref="L36:L39" si="37">D36+K36</f>
        <v>152272072.97</v>
      </c>
      <c r="M36" s="526">
        <v>36821383.890000001</v>
      </c>
      <c r="N36" s="425">
        <v>9410777.8200000003</v>
      </c>
      <c r="O36" s="425">
        <v>9301033.3100000024</v>
      </c>
      <c r="P36" s="425">
        <f t="shared" ref="P36:P39" si="38">Q36-M36-N36-O36</f>
        <v>9415799.7899999991</v>
      </c>
      <c r="Q36" s="527">
        <v>64948994.810000002</v>
      </c>
      <c r="R36" s="516">
        <f t="shared" ref="R36:R39" si="39">L36-Q36</f>
        <v>87323078.159999996</v>
      </c>
      <c r="S36" s="469">
        <f t="shared" si="6"/>
        <v>0.42653254495849663</v>
      </c>
    </row>
    <row r="37" spans="1:19" s="7" customFormat="1" ht="28.8" x14ac:dyDescent="0.2">
      <c r="A37" s="433" t="s">
        <v>61</v>
      </c>
      <c r="B37" s="423" t="s">
        <v>307</v>
      </c>
      <c r="C37" s="424" t="s">
        <v>465</v>
      </c>
      <c r="D37" s="425">
        <v>81866705.900000006</v>
      </c>
      <c r="E37" s="425">
        <v>0</v>
      </c>
      <c r="F37" s="425">
        <v>0</v>
      </c>
      <c r="G37" s="425">
        <v>0</v>
      </c>
      <c r="H37" s="425">
        <v>0</v>
      </c>
      <c r="I37" s="425">
        <v>0</v>
      </c>
      <c r="J37" s="425">
        <v>0</v>
      </c>
      <c r="K37" s="425">
        <f t="shared" si="36"/>
        <v>0</v>
      </c>
      <c r="L37" s="508">
        <f t="shared" si="37"/>
        <v>81866705.900000006</v>
      </c>
      <c r="M37" s="526">
        <v>19796927.300000001</v>
      </c>
      <c r="N37" s="425">
        <v>5059558.1899999976</v>
      </c>
      <c r="O37" s="425">
        <v>5000555.7900000028</v>
      </c>
      <c r="P37" s="425">
        <f t="shared" si="38"/>
        <v>5062258.2199999988</v>
      </c>
      <c r="Q37" s="527">
        <v>34919299.5</v>
      </c>
      <c r="R37" s="516">
        <f t="shared" si="39"/>
        <v>46947406.400000006</v>
      </c>
      <c r="S37" s="469">
        <f t="shared" si="6"/>
        <v>0.42653847026230474</v>
      </c>
    </row>
    <row r="38" spans="1:19" s="7" customFormat="1" ht="18" customHeight="1" x14ac:dyDescent="0.2">
      <c r="A38" s="433" t="s">
        <v>61</v>
      </c>
      <c r="B38" s="423" t="s">
        <v>308</v>
      </c>
      <c r="C38" s="424" t="s">
        <v>309</v>
      </c>
      <c r="D38" s="425">
        <v>40933352.950000003</v>
      </c>
      <c r="E38" s="425">
        <v>0</v>
      </c>
      <c r="F38" s="425">
        <v>0</v>
      </c>
      <c r="G38" s="425">
        <v>0</v>
      </c>
      <c r="H38" s="425">
        <v>0</v>
      </c>
      <c r="I38" s="425">
        <v>0</v>
      </c>
      <c r="J38" s="425">
        <v>0</v>
      </c>
      <c r="K38" s="425">
        <f t="shared" si="36"/>
        <v>0</v>
      </c>
      <c r="L38" s="508">
        <f t="shared" si="37"/>
        <v>40933352.950000003</v>
      </c>
      <c r="M38" s="526">
        <v>9898464.0700000003</v>
      </c>
      <c r="N38" s="425">
        <v>2529779.0999999996</v>
      </c>
      <c r="O38" s="425">
        <v>2500277.9399999995</v>
      </c>
      <c r="P38" s="425">
        <f t="shared" si="38"/>
        <v>2523533.4499999993</v>
      </c>
      <c r="Q38" s="527">
        <v>17452054.559999999</v>
      </c>
      <c r="R38" s="516">
        <f t="shared" si="39"/>
        <v>23481298.390000004</v>
      </c>
      <c r="S38" s="469">
        <f t="shared" si="6"/>
        <v>0.42635292010692705</v>
      </c>
    </row>
    <row r="39" spans="1:19" s="7" customFormat="1" ht="28.8" x14ac:dyDescent="0.2">
      <c r="A39" s="442" t="s">
        <v>61</v>
      </c>
      <c r="B39" s="423" t="s">
        <v>310</v>
      </c>
      <c r="C39" s="424" t="s">
        <v>489</v>
      </c>
      <c r="D39" s="425">
        <v>96589561.189999998</v>
      </c>
      <c r="E39" s="425">
        <v>0</v>
      </c>
      <c r="F39" s="425">
        <v>0</v>
      </c>
      <c r="G39" s="425">
        <v>0</v>
      </c>
      <c r="H39" s="425">
        <v>0</v>
      </c>
      <c r="I39" s="425">
        <v>0</v>
      </c>
      <c r="J39" s="425">
        <v>0</v>
      </c>
      <c r="K39" s="425">
        <f t="shared" si="36"/>
        <v>0</v>
      </c>
      <c r="L39" s="508">
        <f t="shared" si="37"/>
        <v>96589561.189999998</v>
      </c>
      <c r="M39" s="526">
        <v>21516269.16</v>
      </c>
      <c r="N39" s="425">
        <v>5483458.2199999988</v>
      </c>
      <c r="O39" s="425">
        <v>5429419.2300000004</v>
      </c>
      <c r="P39" s="425">
        <f t="shared" si="38"/>
        <v>5371858.1199999973</v>
      </c>
      <c r="Q39" s="527">
        <v>37801004.729999997</v>
      </c>
      <c r="R39" s="516">
        <f t="shared" si="39"/>
        <v>58788556.460000001</v>
      </c>
      <c r="S39" s="469">
        <f t="shared" si="6"/>
        <v>0.39135703966645174</v>
      </c>
    </row>
    <row r="40" spans="1:19" s="7" customFormat="1" x14ac:dyDescent="0.2">
      <c r="A40" s="433"/>
      <c r="B40" s="429"/>
      <c r="C40" s="654"/>
      <c r="D40" s="428"/>
      <c r="E40" s="428"/>
      <c r="F40" s="428"/>
      <c r="G40" s="428"/>
      <c r="H40" s="428"/>
      <c r="I40" s="428"/>
      <c r="J40" s="428"/>
      <c r="K40" s="428"/>
      <c r="L40" s="509"/>
      <c r="M40" s="528"/>
      <c r="N40" s="428"/>
      <c r="O40" s="428"/>
      <c r="P40" s="428"/>
      <c r="Q40" s="529"/>
      <c r="R40" s="517"/>
      <c r="S40" s="469"/>
    </row>
    <row r="41" spans="1:19" s="8" customFormat="1" x14ac:dyDescent="0.2">
      <c r="A41" s="438" t="s">
        <v>64</v>
      </c>
      <c r="B41" s="439" t="s">
        <v>65</v>
      </c>
      <c r="C41" s="655" t="s">
        <v>66</v>
      </c>
      <c r="D41" s="441">
        <f t="shared" ref="D41" si="40">SUM(D42+D47+D52+D58+D66+D71+D73+D77+D83+D85)</f>
        <v>1088272734</v>
      </c>
      <c r="E41" s="441">
        <f t="shared" ref="E41:R41" si="41">SUM(E42+E47+E52+E58+E66+E71+E73+E77+E83+E85)</f>
        <v>0</v>
      </c>
      <c r="F41" s="441">
        <f t="shared" si="41"/>
        <v>-27217000</v>
      </c>
      <c r="G41" s="441">
        <f t="shared" si="41"/>
        <v>0</v>
      </c>
      <c r="H41" s="441">
        <f t="shared" si="41"/>
        <v>0</v>
      </c>
      <c r="I41" s="441">
        <f t="shared" ref="I41" si="42">SUM(I42+I47+I52+I58+I66+I71+I73+I77+I83+I85)</f>
        <v>0</v>
      </c>
      <c r="J41" s="441">
        <f t="shared" si="41"/>
        <v>0</v>
      </c>
      <c r="K41" s="441">
        <f t="shared" si="41"/>
        <v>-27217000</v>
      </c>
      <c r="L41" s="510">
        <f t="shared" si="41"/>
        <v>1061055734</v>
      </c>
      <c r="M41" s="530">
        <v>82529608.599999994</v>
      </c>
      <c r="N41" s="441">
        <v>38471333.990000002</v>
      </c>
      <c r="O41" s="441">
        <v>58910887.850000009</v>
      </c>
      <c r="P41" s="441">
        <f t="shared" si="41"/>
        <v>45745721.999999985</v>
      </c>
      <c r="Q41" s="531">
        <f t="shared" si="41"/>
        <v>225657552.44000003</v>
      </c>
      <c r="R41" s="518">
        <f t="shared" si="41"/>
        <v>835398181.55999994</v>
      </c>
      <c r="S41" s="467">
        <f t="shared" si="6"/>
        <v>0.21267266667445389</v>
      </c>
    </row>
    <row r="42" spans="1:19" s="7" customFormat="1" x14ac:dyDescent="0.2">
      <c r="A42" s="432" t="s">
        <v>64</v>
      </c>
      <c r="B42" s="420" t="s">
        <v>311</v>
      </c>
      <c r="C42" s="654" t="s">
        <v>312</v>
      </c>
      <c r="D42" s="422">
        <f t="shared" ref="D42" si="43">SUM(D43:D46)</f>
        <v>0</v>
      </c>
      <c r="E42" s="422">
        <f t="shared" ref="E42:R42" si="44">SUM(E43:E46)</f>
        <v>0</v>
      </c>
      <c r="F42" s="422">
        <f t="shared" si="44"/>
        <v>3000000</v>
      </c>
      <c r="G42" s="422">
        <f t="shared" si="44"/>
        <v>0</v>
      </c>
      <c r="H42" s="422">
        <f t="shared" si="44"/>
        <v>0</v>
      </c>
      <c r="I42" s="422">
        <f t="shared" ref="I42" si="45">SUM(I43:I46)</f>
        <v>0</v>
      </c>
      <c r="J42" s="422">
        <f t="shared" si="44"/>
        <v>0</v>
      </c>
      <c r="K42" s="422">
        <f t="shared" si="44"/>
        <v>3000000</v>
      </c>
      <c r="L42" s="507">
        <f t="shared" si="44"/>
        <v>3000000</v>
      </c>
      <c r="M42" s="524">
        <v>0</v>
      </c>
      <c r="N42" s="422">
        <v>42363</v>
      </c>
      <c r="O42" s="422">
        <v>394424</v>
      </c>
      <c r="P42" s="422">
        <f t="shared" si="44"/>
        <v>460343</v>
      </c>
      <c r="Q42" s="525">
        <f t="shared" si="44"/>
        <v>897130</v>
      </c>
      <c r="R42" s="515">
        <f t="shared" si="44"/>
        <v>2102870</v>
      </c>
      <c r="S42" s="468">
        <f t="shared" si="6"/>
        <v>0.29904333333333333</v>
      </c>
    </row>
    <row r="43" spans="1:19" s="7" customFormat="1" ht="28.8" hidden="1" x14ac:dyDescent="0.2">
      <c r="A43" s="435" t="s">
        <v>64</v>
      </c>
      <c r="B43" s="423" t="s">
        <v>313</v>
      </c>
      <c r="C43" s="424" t="s">
        <v>67</v>
      </c>
      <c r="D43" s="425"/>
      <c r="E43" s="425">
        <v>0</v>
      </c>
      <c r="F43" s="425">
        <v>0</v>
      </c>
      <c r="G43" s="425">
        <v>0</v>
      </c>
      <c r="H43" s="425">
        <v>0</v>
      </c>
      <c r="I43" s="425">
        <v>0</v>
      </c>
      <c r="J43" s="425">
        <v>0</v>
      </c>
      <c r="K43" s="425">
        <f t="shared" ref="K43:K46" si="46">SUM(E43:J43)</f>
        <v>0</v>
      </c>
      <c r="L43" s="508">
        <f t="shared" ref="L43:L46" si="47">D43+K43</f>
        <v>0</v>
      </c>
      <c r="M43" s="526">
        <v>0</v>
      </c>
      <c r="N43" s="425">
        <v>0</v>
      </c>
      <c r="O43" s="425">
        <v>0</v>
      </c>
      <c r="P43" s="425">
        <v>0</v>
      </c>
      <c r="Q43" s="527">
        <v>0</v>
      </c>
      <c r="R43" s="516">
        <f t="shared" ref="R43:R46" si="48">L43-Q43</f>
        <v>0</v>
      </c>
      <c r="S43" s="469" t="e">
        <f t="shared" si="6"/>
        <v>#DIV/0!</v>
      </c>
    </row>
    <row r="44" spans="1:19" s="7" customFormat="1" ht="28.8" x14ac:dyDescent="0.2">
      <c r="A44" s="435" t="s">
        <v>64</v>
      </c>
      <c r="B44" s="423" t="s">
        <v>314</v>
      </c>
      <c r="C44" s="424" t="s">
        <v>315</v>
      </c>
      <c r="D44" s="425"/>
      <c r="E44" s="425">
        <v>0</v>
      </c>
      <c r="F44" s="425">
        <v>3000000</v>
      </c>
      <c r="G44" s="425">
        <v>0</v>
      </c>
      <c r="H44" s="425">
        <v>0</v>
      </c>
      <c r="I44" s="425">
        <v>0</v>
      </c>
      <c r="J44" s="425">
        <v>0</v>
      </c>
      <c r="K44" s="425">
        <f t="shared" si="46"/>
        <v>3000000</v>
      </c>
      <c r="L44" s="508">
        <f t="shared" si="47"/>
        <v>3000000</v>
      </c>
      <c r="M44" s="526">
        <v>0</v>
      </c>
      <c r="N44" s="425">
        <v>42363</v>
      </c>
      <c r="O44" s="425">
        <v>394424</v>
      </c>
      <c r="P44" s="425">
        <f>Q44-M44-N44-O44</f>
        <v>460343</v>
      </c>
      <c r="Q44" s="527">
        <v>897130</v>
      </c>
      <c r="R44" s="516">
        <f t="shared" si="48"/>
        <v>2102870</v>
      </c>
      <c r="S44" s="469">
        <f t="shared" si="6"/>
        <v>0.29904333333333333</v>
      </c>
    </row>
    <row r="45" spans="1:19" s="7" customFormat="1" ht="28.8" hidden="1" x14ac:dyDescent="0.2">
      <c r="A45" s="435" t="s">
        <v>64</v>
      </c>
      <c r="B45" s="423" t="s">
        <v>316</v>
      </c>
      <c r="C45" s="424" t="s">
        <v>317</v>
      </c>
      <c r="D45" s="425"/>
      <c r="E45" s="425">
        <v>0</v>
      </c>
      <c r="F45" s="425">
        <v>0</v>
      </c>
      <c r="G45" s="425">
        <v>0</v>
      </c>
      <c r="H45" s="425">
        <v>0</v>
      </c>
      <c r="I45" s="425">
        <v>0</v>
      </c>
      <c r="J45" s="425">
        <v>0</v>
      </c>
      <c r="K45" s="425">
        <f t="shared" si="46"/>
        <v>0</v>
      </c>
      <c r="L45" s="508">
        <f t="shared" si="47"/>
        <v>0</v>
      </c>
      <c r="M45" s="526">
        <v>0</v>
      </c>
      <c r="N45" s="425">
        <v>0</v>
      </c>
      <c r="O45" s="425">
        <v>0</v>
      </c>
      <c r="P45" s="425">
        <v>0</v>
      </c>
      <c r="Q45" s="527">
        <v>0</v>
      </c>
      <c r="R45" s="516">
        <f t="shared" si="48"/>
        <v>0</v>
      </c>
      <c r="S45" s="469" t="e">
        <f t="shared" si="6"/>
        <v>#DIV/0!</v>
      </c>
    </row>
    <row r="46" spans="1:19" s="8" customFormat="1" hidden="1" x14ac:dyDescent="0.2">
      <c r="A46" s="435" t="s">
        <v>64</v>
      </c>
      <c r="B46" s="423" t="s">
        <v>318</v>
      </c>
      <c r="C46" s="424" t="s">
        <v>68</v>
      </c>
      <c r="D46" s="425"/>
      <c r="E46" s="425">
        <v>0</v>
      </c>
      <c r="F46" s="425">
        <v>0</v>
      </c>
      <c r="G46" s="425">
        <v>0</v>
      </c>
      <c r="H46" s="425">
        <v>0</v>
      </c>
      <c r="I46" s="425">
        <v>0</v>
      </c>
      <c r="J46" s="425">
        <v>0</v>
      </c>
      <c r="K46" s="425">
        <f t="shared" si="46"/>
        <v>0</v>
      </c>
      <c r="L46" s="508">
        <f t="shared" si="47"/>
        <v>0</v>
      </c>
      <c r="M46" s="526">
        <v>0</v>
      </c>
      <c r="N46" s="425">
        <v>0</v>
      </c>
      <c r="O46" s="425">
        <v>0</v>
      </c>
      <c r="P46" s="425">
        <v>0</v>
      </c>
      <c r="Q46" s="527">
        <v>0</v>
      </c>
      <c r="R46" s="516">
        <f t="shared" si="48"/>
        <v>0</v>
      </c>
      <c r="S46" s="469" t="e">
        <f t="shared" si="6"/>
        <v>#DIV/0!</v>
      </c>
    </row>
    <row r="47" spans="1:19" s="7" customFormat="1" x14ac:dyDescent="0.2">
      <c r="A47" s="432" t="s">
        <v>64</v>
      </c>
      <c r="B47" s="420" t="s">
        <v>319</v>
      </c>
      <c r="C47" s="654" t="s">
        <v>320</v>
      </c>
      <c r="D47" s="422">
        <f t="shared" ref="D47" si="49">SUM(D48:D51)</f>
        <v>240000</v>
      </c>
      <c r="E47" s="422">
        <f t="shared" ref="E47:R47" si="50">SUM(E48:E51)</f>
        <v>0</v>
      </c>
      <c r="F47" s="422">
        <f t="shared" si="50"/>
        <v>0</v>
      </c>
      <c r="G47" s="422">
        <f t="shared" si="50"/>
        <v>0</v>
      </c>
      <c r="H47" s="422">
        <f t="shared" si="50"/>
        <v>0</v>
      </c>
      <c r="I47" s="422">
        <f t="shared" ref="I47" si="51">SUM(I48:I51)</f>
        <v>0</v>
      </c>
      <c r="J47" s="422">
        <f t="shared" si="50"/>
        <v>0</v>
      </c>
      <c r="K47" s="422">
        <f t="shared" si="50"/>
        <v>0</v>
      </c>
      <c r="L47" s="507">
        <f t="shared" si="50"/>
        <v>240000</v>
      </c>
      <c r="M47" s="524">
        <v>0</v>
      </c>
      <c r="N47" s="422">
        <v>0</v>
      </c>
      <c r="O47" s="422">
        <v>0</v>
      </c>
      <c r="P47" s="422">
        <f t="shared" si="50"/>
        <v>76817.399999999994</v>
      </c>
      <c r="Q47" s="525">
        <f t="shared" si="50"/>
        <v>76817.399999999994</v>
      </c>
      <c r="R47" s="515">
        <f t="shared" si="50"/>
        <v>163182.6</v>
      </c>
      <c r="S47" s="468">
        <f t="shared" si="6"/>
        <v>0.32007249999999998</v>
      </c>
    </row>
    <row r="48" spans="1:19" s="7" customFormat="1" ht="28.8" hidden="1" x14ac:dyDescent="0.2">
      <c r="A48" s="435" t="s">
        <v>64</v>
      </c>
      <c r="B48" s="423" t="s">
        <v>321</v>
      </c>
      <c r="C48" s="424" t="s">
        <v>69</v>
      </c>
      <c r="D48" s="425"/>
      <c r="E48" s="425">
        <v>0</v>
      </c>
      <c r="F48" s="425">
        <v>0</v>
      </c>
      <c r="G48" s="425">
        <v>0</v>
      </c>
      <c r="H48" s="425">
        <v>0</v>
      </c>
      <c r="I48" s="425">
        <v>0</v>
      </c>
      <c r="J48" s="425">
        <v>0</v>
      </c>
      <c r="K48" s="425">
        <f t="shared" ref="K48:K51" si="52">SUM(E48:J48)</f>
        <v>0</v>
      </c>
      <c r="L48" s="508">
        <f t="shared" ref="L48:L51" si="53">D48+K48</f>
        <v>0</v>
      </c>
      <c r="M48" s="526">
        <v>0</v>
      </c>
      <c r="N48" s="425">
        <v>0</v>
      </c>
      <c r="O48" s="425">
        <v>0</v>
      </c>
      <c r="P48" s="425">
        <v>0</v>
      </c>
      <c r="Q48" s="527">
        <v>0</v>
      </c>
      <c r="R48" s="516">
        <f t="shared" ref="R48:R51" si="54">L48-Q48</f>
        <v>0</v>
      </c>
      <c r="S48" s="469" t="e">
        <f t="shared" si="6"/>
        <v>#DIV/0!</v>
      </c>
    </row>
    <row r="49" spans="1:19" s="7" customFormat="1" hidden="1" x14ac:dyDescent="0.2">
      <c r="A49" s="435" t="s">
        <v>64</v>
      </c>
      <c r="B49" s="423" t="s">
        <v>322</v>
      </c>
      <c r="C49" s="424" t="s">
        <v>70</v>
      </c>
      <c r="D49" s="425"/>
      <c r="E49" s="425">
        <v>0</v>
      </c>
      <c r="F49" s="425">
        <v>0</v>
      </c>
      <c r="G49" s="425">
        <v>0</v>
      </c>
      <c r="H49" s="425">
        <v>0</v>
      </c>
      <c r="I49" s="425">
        <v>0</v>
      </c>
      <c r="J49" s="425">
        <v>0</v>
      </c>
      <c r="K49" s="425">
        <f t="shared" si="52"/>
        <v>0</v>
      </c>
      <c r="L49" s="508">
        <f t="shared" si="53"/>
        <v>0</v>
      </c>
      <c r="M49" s="526">
        <v>0</v>
      </c>
      <c r="N49" s="425">
        <v>0</v>
      </c>
      <c r="O49" s="425">
        <v>0</v>
      </c>
      <c r="P49" s="425">
        <v>0</v>
      </c>
      <c r="Q49" s="527">
        <v>0</v>
      </c>
      <c r="R49" s="516">
        <f t="shared" si="54"/>
        <v>0</v>
      </c>
      <c r="S49" s="469" t="e">
        <f t="shared" si="6"/>
        <v>#DIV/0!</v>
      </c>
    </row>
    <row r="50" spans="1:19" s="8" customFormat="1" ht="28.8" x14ac:dyDescent="0.2">
      <c r="A50" s="435" t="s">
        <v>64</v>
      </c>
      <c r="B50" s="423" t="s">
        <v>323</v>
      </c>
      <c r="C50" s="424" t="s">
        <v>71</v>
      </c>
      <c r="D50" s="425">
        <v>240000</v>
      </c>
      <c r="E50" s="425">
        <v>0</v>
      </c>
      <c r="F50" s="425">
        <v>0</v>
      </c>
      <c r="G50" s="425">
        <v>0</v>
      </c>
      <c r="H50" s="425">
        <v>0</v>
      </c>
      <c r="I50" s="425">
        <v>0</v>
      </c>
      <c r="J50" s="425">
        <v>0</v>
      </c>
      <c r="K50" s="425">
        <f t="shared" si="52"/>
        <v>0</v>
      </c>
      <c r="L50" s="508">
        <f t="shared" si="53"/>
        <v>240000</v>
      </c>
      <c r="M50" s="526">
        <v>0</v>
      </c>
      <c r="N50" s="425">
        <v>0</v>
      </c>
      <c r="O50" s="425">
        <v>0</v>
      </c>
      <c r="P50" s="425">
        <f t="shared" ref="P50:P51" si="55">Q50-M50-N50-O50</f>
        <v>76817.399999999994</v>
      </c>
      <c r="Q50" s="527">
        <v>76817.399999999994</v>
      </c>
      <c r="R50" s="516">
        <f t="shared" si="54"/>
        <v>163182.6</v>
      </c>
      <c r="S50" s="469">
        <f t="shared" si="6"/>
        <v>0.32007249999999998</v>
      </c>
    </row>
    <row r="51" spans="1:19" s="7" customFormat="1" x14ac:dyDescent="0.2">
      <c r="A51" s="435" t="s">
        <v>64</v>
      </c>
      <c r="B51" s="423" t="s">
        <v>324</v>
      </c>
      <c r="C51" s="424" t="s">
        <v>72</v>
      </c>
      <c r="D51" s="425"/>
      <c r="E51" s="425">
        <v>0</v>
      </c>
      <c r="F51" s="425">
        <v>0</v>
      </c>
      <c r="G51" s="425">
        <v>0</v>
      </c>
      <c r="H51" s="425">
        <v>0</v>
      </c>
      <c r="I51" s="425">
        <v>0</v>
      </c>
      <c r="J51" s="425">
        <v>0</v>
      </c>
      <c r="K51" s="425">
        <f t="shared" si="52"/>
        <v>0</v>
      </c>
      <c r="L51" s="508">
        <f t="shared" si="53"/>
        <v>0</v>
      </c>
      <c r="M51" s="526">
        <v>0</v>
      </c>
      <c r="N51" s="425">
        <v>0</v>
      </c>
      <c r="O51" s="425">
        <v>0</v>
      </c>
      <c r="P51" s="425">
        <f t="shared" si="55"/>
        <v>0</v>
      </c>
      <c r="Q51" s="527">
        <v>0</v>
      </c>
      <c r="R51" s="516">
        <f t="shared" si="54"/>
        <v>0</v>
      </c>
      <c r="S51" s="469" t="e">
        <f t="shared" si="6"/>
        <v>#DIV/0!</v>
      </c>
    </row>
    <row r="52" spans="1:19" s="7" customFormat="1" ht="28.8" x14ac:dyDescent="0.2">
      <c r="A52" s="432" t="s">
        <v>64</v>
      </c>
      <c r="B52" s="420" t="s">
        <v>325</v>
      </c>
      <c r="C52" s="654" t="s">
        <v>495</v>
      </c>
      <c r="D52" s="422">
        <f t="shared" ref="D52" si="56">SUM(D53:D57)</f>
        <v>3500000</v>
      </c>
      <c r="E52" s="422">
        <f t="shared" ref="E52:R52" si="57">SUM(E53:E57)</f>
        <v>0</v>
      </c>
      <c r="F52" s="422">
        <f t="shared" si="57"/>
        <v>170000</v>
      </c>
      <c r="G52" s="422">
        <f t="shared" si="57"/>
        <v>0</v>
      </c>
      <c r="H52" s="422">
        <f t="shared" si="57"/>
        <v>0</v>
      </c>
      <c r="I52" s="422">
        <f t="shared" ref="I52" si="58">SUM(I53:I57)</f>
        <v>0</v>
      </c>
      <c r="J52" s="422">
        <f t="shared" si="57"/>
        <v>0</v>
      </c>
      <c r="K52" s="422">
        <f t="shared" si="57"/>
        <v>170000</v>
      </c>
      <c r="L52" s="507">
        <f t="shared" si="57"/>
        <v>3670000</v>
      </c>
      <c r="M52" s="524">
        <v>0</v>
      </c>
      <c r="N52" s="422">
        <v>0</v>
      </c>
      <c r="O52" s="422">
        <v>56500</v>
      </c>
      <c r="P52" s="422">
        <f t="shared" si="57"/>
        <v>0</v>
      </c>
      <c r="Q52" s="525">
        <f t="shared" si="57"/>
        <v>56500</v>
      </c>
      <c r="R52" s="515">
        <f t="shared" si="57"/>
        <v>3613500</v>
      </c>
      <c r="S52" s="468">
        <f t="shared" si="6"/>
        <v>1.5395095367847412E-2</v>
      </c>
    </row>
    <row r="53" spans="1:19" s="8" customFormat="1" hidden="1" x14ac:dyDescent="0.2">
      <c r="A53" s="435" t="s">
        <v>64</v>
      </c>
      <c r="B53" s="423" t="s">
        <v>327</v>
      </c>
      <c r="C53" s="424" t="s">
        <v>73</v>
      </c>
      <c r="D53" s="425"/>
      <c r="E53" s="425">
        <v>0</v>
      </c>
      <c r="F53" s="425">
        <v>0</v>
      </c>
      <c r="G53" s="425">
        <v>0</v>
      </c>
      <c r="H53" s="425">
        <v>0</v>
      </c>
      <c r="I53" s="425">
        <v>0</v>
      </c>
      <c r="J53" s="425">
        <v>0</v>
      </c>
      <c r="K53" s="425">
        <f t="shared" ref="K53:K57" si="59">SUM(E53:J53)</f>
        <v>0</v>
      </c>
      <c r="L53" s="508">
        <f t="shared" ref="L53:L57" si="60">D53+K53</f>
        <v>0</v>
      </c>
      <c r="M53" s="526">
        <v>0</v>
      </c>
      <c r="N53" s="425">
        <v>0</v>
      </c>
      <c r="O53" s="425">
        <v>0</v>
      </c>
      <c r="P53" s="425">
        <v>0</v>
      </c>
      <c r="Q53" s="527">
        <v>0</v>
      </c>
      <c r="R53" s="516">
        <f t="shared" ref="R53:R57" si="61">L53-Q53</f>
        <v>0</v>
      </c>
      <c r="S53" s="469" t="e">
        <f t="shared" si="6"/>
        <v>#DIV/0!</v>
      </c>
    </row>
    <row r="54" spans="1:19" s="8" customFormat="1" ht="28.8" x14ac:dyDescent="0.2">
      <c r="A54" s="435" t="s">
        <v>64</v>
      </c>
      <c r="B54" s="423" t="s">
        <v>328</v>
      </c>
      <c r="C54" s="424" t="s">
        <v>74</v>
      </c>
      <c r="D54" s="425">
        <v>2000000</v>
      </c>
      <c r="E54" s="425">
        <v>0</v>
      </c>
      <c r="F54" s="425">
        <v>0</v>
      </c>
      <c r="G54" s="425">
        <v>0</v>
      </c>
      <c r="H54" s="425">
        <v>0</v>
      </c>
      <c r="I54" s="425">
        <v>0</v>
      </c>
      <c r="J54" s="425">
        <v>0</v>
      </c>
      <c r="K54" s="425">
        <f t="shared" si="59"/>
        <v>0</v>
      </c>
      <c r="L54" s="508">
        <f t="shared" si="60"/>
        <v>2000000</v>
      </c>
      <c r="M54" s="526">
        <v>0</v>
      </c>
      <c r="N54" s="425">
        <v>0</v>
      </c>
      <c r="O54" s="425">
        <v>0</v>
      </c>
      <c r="P54" s="425">
        <f t="shared" ref="P54:P56" si="62">Q54-M54-N54-O54</f>
        <v>0</v>
      </c>
      <c r="Q54" s="527">
        <v>0</v>
      </c>
      <c r="R54" s="516">
        <f t="shared" si="61"/>
        <v>2000000</v>
      </c>
      <c r="S54" s="469">
        <f t="shared" si="6"/>
        <v>0</v>
      </c>
    </row>
    <row r="55" spans="1:19" s="8" customFormat="1" x14ac:dyDescent="0.2">
      <c r="A55" s="435" t="s">
        <v>64</v>
      </c>
      <c r="B55" s="423" t="s">
        <v>329</v>
      </c>
      <c r="C55" s="424" t="s">
        <v>75</v>
      </c>
      <c r="D55" s="425">
        <v>1500000</v>
      </c>
      <c r="E55" s="425">
        <v>0</v>
      </c>
      <c r="F55" s="425">
        <v>0</v>
      </c>
      <c r="G55" s="425">
        <v>0</v>
      </c>
      <c r="H55" s="425">
        <v>0</v>
      </c>
      <c r="I55" s="425">
        <v>0</v>
      </c>
      <c r="J55" s="425">
        <v>0</v>
      </c>
      <c r="K55" s="425">
        <f t="shared" si="59"/>
        <v>0</v>
      </c>
      <c r="L55" s="508">
        <f t="shared" si="60"/>
        <v>1500000</v>
      </c>
      <c r="M55" s="526">
        <v>0</v>
      </c>
      <c r="N55" s="425">
        <v>0</v>
      </c>
      <c r="O55" s="425">
        <v>56500</v>
      </c>
      <c r="P55" s="425">
        <f t="shared" si="62"/>
        <v>0</v>
      </c>
      <c r="Q55" s="527">
        <v>56500</v>
      </c>
      <c r="R55" s="516">
        <f t="shared" si="61"/>
        <v>1443500</v>
      </c>
      <c r="S55" s="469">
        <f t="shared" si="6"/>
        <v>3.7666666666666668E-2</v>
      </c>
    </row>
    <row r="56" spans="1:19" s="7" customFormat="1" ht="28.8" x14ac:dyDescent="0.2">
      <c r="A56" s="435" t="s">
        <v>64</v>
      </c>
      <c r="B56" s="423" t="s">
        <v>330</v>
      </c>
      <c r="C56" s="424" t="s">
        <v>462</v>
      </c>
      <c r="D56" s="425"/>
      <c r="E56" s="425">
        <v>0</v>
      </c>
      <c r="F56" s="425">
        <v>170000</v>
      </c>
      <c r="G56" s="425">
        <v>0</v>
      </c>
      <c r="H56" s="425">
        <v>0</v>
      </c>
      <c r="I56" s="425">
        <v>0</v>
      </c>
      <c r="J56" s="425">
        <v>0</v>
      </c>
      <c r="K56" s="425">
        <f t="shared" si="59"/>
        <v>170000</v>
      </c>
      <c r="L56" s="508">
        <f t="shared" si="60"/>
        <v>170000</v>
      </c>
      <c r="M56" s="526">
        <v>0</v>
      </c>
      <c r="N56" s="425">
        <v>0</v>
      </c>
      <c r="O56" s="425">
        <v>0</v>
      </c>
      <c r="P56" s="425">
        <f t="shared" si="62"/>
        <v>0</v>
      </c>
      <c r="Q56" s="527">
        <v>0</v>
      </c>
      <c r="R56" s="516">
        <f t="shared" si="61"/>
        <v>170000</v>
      </c>
      <c r="S56" s="469">
        <f t="shared" si="6"/>
        <v>0</v>
      </c>
    </row>
    <row r="57" spans="1:19" s="7" customFormat="1" ht="28.8" hidden="1" x14ac:dyDescent="0.2">
      <c r="A57" s="435" t="s">
        <v>64</v>
      </c>
      <c r="B57" s="423" t="s">
        <v>331</v>
      </c>
      <c r="C57" s="424" t="s">
        <v>463</v>
      </c>
      <c r="D57" s="425"/>
      <c r="E57" s="425">
        <v>0</v>
      </c>
      <c r="F57" s="425">
        <v>0</v>
      </c>
      <c r="G57" s="425">
        <v>0</v>
      </c>
      <c r="H57" s="425">
        <v>0</v>
      </c>
      <c r="I57" s="425">
        <v>0</v>
      </c>
      <c r="J57" s="425">
        <v>0</v>
      </c>
      <c r="K57" s="425">
        <f t="shared" si="59"/>
        <v>0</v>
      </c>
      <c r="L57" s="508">
        <f t="shared" si="60"/>
        <v>0</v>
      </c>
      <c r="M57" s="526">
        <v>0</v>
      </c>
      <c r="N57" s="425">
        <v>0</v>
      </c>
      <c r="O57" s="425">
        <v>0</v>
      </c>
      <c r="P57" s="425">
        <v>0</v>
      </c>
      <c r="Q57" s="527">
        <v>0</v>
      </c>
      <c r="R57" s="516">
        <f t="shared" si="61"/>
        <v>0</v>
      </c>
      <c r="S57" s="469" t="e">
        <f t="shared" si="6"/>
        <v>#DIV/0!</v>
      </c>
    </row>
    <row r="58" spans="1:19" s="7" customFormat="1" ht="28.8" x14ac:dyDescent="0.2">
      <c r="A58" s="432" t="s">
        <v>64</v>
      </c>
      <c r="B58" s="420" t="s">
        <v>332</v>
      </c>
      <c r="C58" s="654" t="s">
        <v>333</v>
      </c>
      <c r="D58" s="422">
        <f t="shared" ref="D58" si="63">SUM(D59:D65)</f>
        <v>318832734</v>
      </c>
      <c r="E58" s="422">
        <f t="shared" ref="E58:R58" si="64">SUM(E59:E65)</f>
        <v>0</v>
      </c>
      <c r="F58" s="422">
        <f t="shared" si="64"/>
        <v>11460000</v>
      </c>
      <c r="G58" s="422">
        <f t="shared" si="64"/>
        <v>0</v>
      </c>
      <c r="H58" s="422">
        <f t="shared" si="64"/>
        <v>0</v>
      </c>
      <c r="I58" s="422">
        <f t="shared" ref="I58" si="65">SUM(I59:I65)</f>
        <v>0</v>
      </c>
      <c r="J58" s="422">
        <f t="shared" si="64"/>
        <v>0</v>
      </c>
      <c r="K58" s="422">
        <f t="shared" si="64"/>
        <v>11460000</v>
      </c>
      <c r="L58" s="507">
        <f t="shared" si="64"/>
        <v>330292734</v>
      </c>
      <c r="M58" s="524">
        <v>74090050.079999998</v>
      </c>
      <c r="N58" s="422">
        <v>26057165.990000002</v>
      </c>
      <c r="O58" s="422">
        <v>21443654.070000008</v>
      </c>
      <c r="P58" s="422">
        <f t="shared" si="64"/>
        <v>20951647.59999999</v>
      </c>
      <c r="Q58" s="525">
        <f t="shared" si="64"/>
        <v>142542517.74000001</v>
      </c>
      <c r="R58" s="515">
        <f t="shared" si="64"/>
        <v>187750216.25999999</v>
      </c>
      <c r="S58" s="468">
        <f t="shared" si="6"/>
        <v>0.43156419462742407</v>
      </c>
    </row>
    <row r="59" spans="1:19" s="7" customFormat="1" ht="28.8" x14ac:dyDescent="0.2">
      <c r="A59" s="435" t="s">
        <v>64</v>
      </c>
      <c r="B59" s="423" t="s">
        <v>334</v>
      </c>
      <c r="C59" s="424" t="s">
        <v>335</v>
      </c>
      <c r="D59" s="425">
        <v>2500000</v>
      </c>
      <c r="E59" s="425">
        <v>0</v>
      </c>
      <c r="F59" s="425">
        <v>0</v>
      </c>
      <c r="G59" s="425">
        <v>0</v>
      </c>
      <c r="H59" s="425">
        <v>0</v>
      </c>
      <c r="I59" s="425">
        <v>0</v>
      </c>
      <c r="J59" s="425">
        <v>0</v>
      </c>
      <c r="K59" s="425">
        <f t="shared" ref="K59:K65" si="66">SUM(E59:J59)</f>
        <v>0</v>
      </c>
      <c r="L59" s="508">
        <f t="shared" ref="L59:L65" si="67">D59+K59</f>
        <v>2500000</v>
      </c>
      <c r="M59" s="526">
        <v>120000</v>
      </c>
      <c r="N59" s="425">
        <v>87400</v>
      </c>
      <c r="O59" s="425">
        <v>62400</v>
      </c>
      <c r="P59" s="425">
        <f t="shared" ref="P59:P65" si="68">Q59-M59-N59-O59</f>
        <v>113400</v>
      </c>
      <c r="Q59" s="527">
        <v>383200</v>
      </c>
      <c r="R59" s="516">
        <f t="shared" ref="R59:R65" si="69">L59-Q59</f>
        <v>2116800</v>
      </c>
      <c r="S59" s="469">
        <f t="shared" si="6"/>
        <v>0.15328</v>
      </c>
    </row>
    <row r="60" spans="1:19" s="8" customFormat="1" x14ac:dyDescent="0.2">
      <c r="A60" s="435" t="s">
        <v>64</v>
      </c>
      <c r="B60" s="423" t="s">
        <v>336</v>
      </c>
      <c r="C60" s="424" t="s">
        <v>76</v>
      </c>
      <c r="D60" s="425">
        <v>70000000</v>
      </c>
      <c r="E60" s="425">
        <v>0</v>
      </c>
      <c r="F60" s="425">
        <v>10000000</v>
      </c>
      <c r="G60" s="425">
        <v>0</v>
      </c>
      <c r="H60" s="425">
        <v>0</v>
      </c>
      <c r="I60" s="425">
        <v>0</v>
      </c>
      <c r="J60" s="425">
        <v>0</v>
      </c>
      <c r="K60" s="425">
        <f t="shared" si="66"/>
        <v>10000000</v>
      </c>
      <c r="L60" s="508">
        <f t="shared" si="67"/>
        <v>80000000</v>
      </c>
      <c r="M60" s="526">
        <v>12542999.609999999</v>
      </c>
      <c r="N60" s="425">
        <v>2147000</v>
      </c>
      <c r="O60" s="425">
        <v>3352332.5800000019</v>
      </c>
      <c r="P60" s="425">
        <f t="shared" si="68"/>
        <v>2938000</v>
      </c>
      <c r="Q60" s="527">
        <v>20980332.190000001</v>
      </c>
      <c r="R60" s="516">
        <f t="shared" si="69"/>
        <v>59019667.810000002</v>
      </c>
      <c r="S60" s="469">
        <f t="shared" si="6"/>
        <v>0.26225415237499999</v>
      </c>
    </row>
    <row r="61" spans="1:19" s="8" customFormat="1" ht="28.8" hidden="1" x14ac:dyDescent="0.2">
      <c r="A61" s="435" t="s">
        <v>64</v>
      </c>
      <c r="B61" s="423" t="s">
        <v>337</v>
      </c>
      <c r="C61" s="424" t="s">
        <v>77</v>
      </c>
      <c r="D61" s="425"/>
      <c r="E61" s="425">
        <v>0</v>
      </c>
      <c r="F61" s="425">
        <v>0</v>
      </c>
      <c r="G61" s="425">
        <v>0</v>
      </c>
      <c r="H61" s="425">
        <v>0</v>
      </c>
      <c r="I61" s="425">
        <v>0</v>
      </c>
      <c r="J61" s="425">
        <v>0</v>
      </c>
      <c r="K61" s="425">
        <f t="shared" si="66"/>
        <v>0</v>
      </c>
      <c r="L61" s="508">
        <f t="shared" si="67"/>
        <v>0</v>
      </c>
      <c r="M61" s="526">
        <v>0</v>
      </c>
      <c r="N61" s="425">
        <v>0</v>
      </c>
      <c r="O61" s="425">
        <v>0</v>
      </c>
      <c r="P61" s="425">
        <f t="shared" si="68"/>
        <v>0</v>
      </c>
      <c r="Q61" s="527">
        <v>0</v>
      </c>
      <c r="R61" s="516">
        <f t="shared" si="69"/>
        <v>0</v>
      </c>
      <c r="S61" s="469" t="e">
        <f t="shared" si="6"/>
        <v>#DIV/0!</v>
      </c>
    </row>
    <row r="62" spans="1:19" s="8" customFormat="1" ht="28.8" x14ac:dyDescent="0.2">
      <c r="A62" s="435" t="s">
        <v>64</v>
      </c>
      <c r="B62" s="423" t="s">
        <v>338</v>
      </c>
      <c r="C62" s="424" t="s">
        <v>339</v>
      </c>
      <c r="D62" s="425">
        <v>128332734</v>
      </c>
      <c r="E62" s="425">
        <v>0</v>
      </c>
      <c r="F62" s="425">
        <v>0</v>
      </c>
      <c r="G62" s="425">
        <v>0</v>
      </c>
      <c r="H62" s="425">
        <v>0</v>
      </c>
      <c r="I62" s="425">
        <v>0</v>
      </c>
      <c r="J62" s="425">
        <v>0</v>
      </c>
      <c r="K62" s="425">
        <f t="shared" si="66"/>
        <v>0</v>
      </c>
      <c r="L62" s="508">
        <f t="shared" si="67"/>
        <v>128332734</v>
      </c>
      <c r="M62" s="526">
        <v>42319142.359999999</v>
      </c>
      <c r="N62" s="425">
        <v>14166591.670000002</v>
      </c>
      <c r="O62" s="425">
        <v>14152658.760000005</v>
      </c>
      <c r="P62" s="425">
        <f t="shared" si="68"/>
        <v>14166591.669999987</v>
      </c>
      <c r="Q62" s="527">
        <v>84804984.459999993</v>
      </c>
      <c r="R62" s="516">
        <f t="shared" si="69"/>
        <v>43527749.540000007</v>
      </c>
      <c r="S62" s="469">
        <f t="shared" si="6"/>
        <v>0.66082114684784943</v>
      </c>
    </row>
    <row r="63" spans="1:19" s="7" customFormat="1" ht="28.8" hidden="1" x14ac:dyDescent="0.2">
      <c r="A63" s="435" t="s">
        <v>64</v>
      </c>
      <c r="B63" s="423" t="s">
        <v>340</v>
      </c>
      <c r="C63" s="424" t="s">
        <v>461</v>
      </c>
      <c r="D63" s="425"/>
      <c r="E63" s="425">
        <v>0</v>
      </c>
      <c r="F63" s="425">
        <v>0</v>
      </c>
      <c r="G63" s="425">
        <v>0</v>
      </c>
      <c r="H63" s="425">
        <v>0</v>
      </c>
      <c r="I63" s="425">
        <v>0</v>
      </c>
      <c r="J63" s="425">
        <v>0</v>
      </c>
      <c r="K63" s="425">
        <f t="shared" si="66"/>
        <v>0</v>
      </c>
      <c r="L63" s="508">
        <f t="shared" si="67"/>
        <v>0</v>
      </c>
      <c r="M63" s="526">
        <v>0</v>
      </c>
      <c r="N63" s="425">
        <v>0</v>
      </c>
      <c r="O63" s="425">
        <v>0</v>
      </c>
      <c r="P63" s="425">
        <f t="shared" si="68"/>
        <v>0</v>
      </c>
      <c r="Q63" s="527">
        <v>0</v>
      </c>
      <c r="R63" s="516">
        <f t="shared" si="69"/>
        <v>0</v>
      </c>
      <c r="S63" s="469" t="e">
        <f t="shared" si="6"/>
        <v>#DIV/0!</v>
      </c>
    </row>
    <row r="64" spans="1:19" s="7" customFormat="1" x14ac:dyDescent="0.2">
      <c r="A64" s="435" t="s">
        <v>64</v>
      </c>
      <c r="B64" s="423" t="s">
        <v>342</v>
      </c>
      <c r="C64" s="424" t="s">
        <v>78</v>
      </c>
      <c r="D64" s="425">
        <v>80000000</v>
      </c>
      <c r="E64" s="425">
        <v>0</v>
      </c>
      <c r="F64" s="425">
        <v>0</v>
      </c>
      <c r="G64" s="425">
        <v>0</v>
      </c>
      <c r="H64" s="425">
        <v>0</v>
      </c>
      <c r="I64" s="425">
        <v>0</v>
      </c>
      <c r="J64" s="425">
        <v>0</v>
      </c>
      <c r="K64" s="425">
        <f t="shared" si="66"/>
        <v>0</v>
      </c>
      <c r="L64" s="508">
        <f t="shared" si="67"/>
        <v>80000000</v>
      </c>
      <c r="M64" s="526">
        <v>19107908.109999999</v>
      </c>
      <c r="N64" s="425">
        <v>9656174.3200000003</v>
      </c>
      <c r="O64" s="425">
        <v>3876262.7300000004</v>
      </c>
      <c r="P64" s="425">
        <f t="shared" si="68"/>
        <v>3683655.9300000034</v>
      </c>
      <c r="Q64" s="527">
        <v>36324001.090000004</v>
      </c>
      <c r="R64" s="516">
        <f t="shared" si="69"/>
        <v>43675998.909999996</v>
      </c>
      <c r="S64" s="469">
        <f t="shared" si="6"/>
        <v>0.45405001362500003</v>
      </c>
    </row>
    <row r="65" spans="1:22" s="8" customFormat="1" ht="28.8" x14ac:dyDescent="0.2">
      <c r="A65" s="435" t="s">
        <v>64</v>
      </c>
      <c r="B65" s="423" t="s">
        <v>343</v>
      </c>
      <c r="C65" s="424" t="s">
        <v>79</v>
      </c>
      <c r="D65" s="425">
        <v>38000000</v>
      </c>
      <c r="E65" s="425">
        <v>0</v>
      </c>
      <c r="F65" s="425">
        <v>1460000</v>
      </c>
      <c r="G65" s="425">
        <v>0</v>
      </c>
      <c r="H65" s="425">
        <v>0</v>
      </c>
      <c r="I65" s="425">
        <v>0</v>
      </c>
      <c r="J65" s="425">
        <v>0</v>
      </c>
      <c r="K65" s="425">
        <f t="shared" si="66"/>
        <v>1460000</v>
      </c>
      <c r="L65" s="508">
        <f t="shared" si="67"/>
        <v>39460000</v>
      </c>
      <c r="M65" s="526">
        <v>0</v>
      </c>
      <c r="N65" s="425">
        <v>0</v>
      </c>
      <c r="O65" s="425">
        <v>0</v>
      </c>
      <c r="P65" s="425">
        <f t="shared" si="68"/>
        <v>50000</v>
      </c>
      <c r="Q65" s="527">
        <v>50000</v>
      </c>
      <c r="R65" s="516">
        <f t="shared" si="69"/>
        <v>39410000</v>
      </c>
      <c r="S65" s="469">
        <f t="shared" si="6"/>
        <v>1.2671059300557526E-3</v>
      </c>
    </row>
    <row r="66" spans="1:22" s="7" customFormat="1" ht="28.8" x14ac:dyDescent="0.2">
      <c r="A66" s="432" t="s">
        <v>64</v>
      </c>
      <c r="B66" s="420" t="s">
        <v>344</v>
      </c>
      <c r="C66" s="654" t="s">
        <v>345</v>
      </c>
      <c r="D66" s="422">
        <f t="shared" ref="D66" si="70">SUM(D67:D70)</f>
        <v>452700000</v>
      </c>
      <c r="E66" s="422">
        <f t="shared" ref="E66:R66" si="71">SUM(E67:E70)</f>
        <v>0</v>
      </c>
      <c r="F66" s="422">
        <f t="shared" si="71"/>
        <v>-63882000</v>
      </c>
      <c r="G66" s="422">
        <f t="shared" si="71"/>
        <v>0</v>
      </c>
      <c r="H66" s="422">
        <f t="shared" si="71"/>
        <v>0</v>
      </c>
      <c r="I66" s="422">
        <f t="shared" ref="I66" si="72">SUM(I67:I70)</f>
        <v>0</v>
      </c>
      <c r="J66" s="422">
        <f t="shared" si="71"/>
        <v>0</v>
      </c>
      <c r="K66" s="422">
        <f t="shared" si="71"/>
        <v>-63882000</v>
      </c>
      <c r="L66" s="507">
        <f t="shared" si="71"/>
        <v>388818000</v>
      </c>
      <c r="M66" s="524">
        <v>7944046.3599999994</v>
      </c>
      <c r="N66" s="422">
        <v>8616805</v>
      </c>
      <c r="O66" s="422">
        <v>20917509.779999997</v>
      </c>
      <c r="P66" s="422">
        <f t="shared" si="71"/>
        <v>13595063.999999998</v>
      </c>
      <c r="Q66" s="525">
        <f t="shared" si="71"/>
        <v>51073425.140000001</v>
      </c>
      <c r="R66" s="515">
        <f t="shared" si="71"/>
        <v>337744574.86000001</v>
      </c>
      <c r="S66" s="468">
        <f t="shared" si="6"/>
        <v>0.13135560889670747</v>
      </c>
    </row>
    <row r="67" spans="1:22" s="7" customFormat="1" x14ac:dyDescent="0.2">
      <c r="A67" s="646" t="s">
        <v>64</v>
      </c>
      <c r="B67" s="423" t="s">
        <v>346</v>
      </c>
      <c r="C67" s="424" t="s">
        <v>80</v>
      </c>
      <c r="D67" s="425">
        <v>200000000</v>
      </c>
      <c r="E67" s="425">
        <v>0</v>
      </c>
      <c r="F67" s="425">
        <v>-32382000</v>
      </c>
      <c r="G67" s="425">
        <v>0</v>
      </c>
      <c r="H67" s="425">
        <v>0</v>
      </c>
      <c r="I67" s="425">
        <v>0</v>
      </c>
      <c r="J67" s="425">
        <v>0</v>
      </c>
      <c r="K67" s="425">
        <f t="shared" ref="K67:K70" si="73">SUM(E67:J67)</f>
        <v>-32382000</v>
      </c>
      <c r="L67" s="508">
        <f t="shared" ref="L67:L70" si="74">D67+K67</f>
        <v>167618000</v>
      </c>
      <c r="M67" s="526">
        <v>4100048.08</v>
      </c>
      <c r="N67" s="425">
        <v>2806915</v>
      </c>
      <c r="O67" s="425">
        <v>8909964</v>
      </c>
      <c r="P67" s="425">
        <f t="shared" ref="P67:P68" si="75">Q67-M67-N67-O67</f>
        <v>4976240.9999999981</v>
      </c>
      <c r="Q67" s="527">
        <v>20793168.079999998</v>
      </c>
      <c r="R67" s="516">
        <f t="shared" ref="R67:R70" si="76">L67-Q67</f>
        <v>146824831.92000002</v>
      </c>
      <c r="S67" s="469">
        <f t="shared" si="6"/>
        <v>0.12405092579555894</v>
      </c>
    </row>
    <row r="68" spans="1:22" s="7" customFormat="1" x14ac:dyDescent="0.2">
      <c r="A68" s="646" t="s">
        <v>64</v>
      </c>
      <c r="B68" s="423" t="s">
        <v>347</v>
      </c>
      <c r="C68" s="424" t="s">
        <v>81</v>
      </c>
      <c r="D68" s="425">
        <v>252700000</v>
      </c>
      <c r="E68" s="425">
        <v>0</v>
      </c>
      <c r="F68" s="425">
        <v>-31500000</v>
      </c>
      <c r="G68" s="425">
        <v>0</v>
      </c>
      <c r="H68" s="425">
        <v>0</v>
      </c>
      <c r="I68" s="425">
        <v>0</v>
      </c>
      <c r="J68" s="425">
        <v>0</v>
      </c>
      <c r="K68" s="425">
        <f t="shared" si="73"/>
        <v>-31500000</v>
      </c>
      <c r="L68" s="508">
        <f t="shared" si="74"/>
        <v>221200000</v>
      </c>
      <c r="M68" s="526">
        <v>3843998.28</v>
      </c>
      <c r="N68" s="425">
        <v>5809890</v>
      </c>
      <c r="O68" s="425">
        <v>12007545.779999997</v>
      </c>
      <c r="P68" s="425">
        <f t="shared" si="75"/>
        <v>8618823</v>
      </c>
      <c r="Q68" s="527">
        <v>30280257.059999999</v>
      </c>
      <c r="R68" s="516">
        <f t="shared" si="76"/>
        <v>190919742.94</v>
      </c>
      <c r="S68" s="469">
        <f t="shared" si="6"/>
        <v>0.13689085470162748</v>
      </c>
      <c r="V68" s="101"/>
    </row>
    <row r="69" spans="1:22" s="7" customFormat="1" hidden="1" x14ac:dyDescent="0.2">
      <c r="A69" s="646" t="s">
        <v>64</v>
      </c>
      <c r="B69" s="423" t="s">
        <v>348</v>
      </c>
      <c r="C69" s="424" t="s">
        <v>349</v>
      </c>
      <c r="D69" s="425"/>
      <c r="E69" s="425">
        <v>0</v>
      </c>
      <c r="F69" s="425">
        <v>0</v>
      </c>
      <c r="G69" s="425">
        <v>0</v>
      </c>
      <c r="H69" s="425">
        <v>0</v>
      </c>
      <c r="I69" s="425">
        <v>0</v>
      </c>
      <c r="J69" s="425">
        <v>0</v>
      </c>
      <c r="K69" s="425">
        <f t="shared" si="73"/>
        <v>0</v>
      </c>
      <c r="L69" s="508">
        <f t="shared" si="74"/>
        <v>0</v>
      </c>
      <c r="M69" s="526">
        <v>0</v>
      </c>
      <c r="N69" s="425">
        <v>0</v>
      </c>
      <c r="O69" s="425">
        <v>0</v>
      </c>
      <c r="P69" s="425">
        <v>0</v>
      </c>
      <c r="Q69" s="527">
        <v>0</v>
      </c>
      <c r="R69" s="516">
        <f t="shared" si="76"/>
        <v>0</v>
      </c>
      <c r="S69" s="469" t="e">
        <f t="shared" si="6"/>
        <v>#DIV/0!</v>
      </c>
    </row>
    <row r="70" spans="1:22" s="7" customFormat="1" hidden="1" x14ac:dyDescent="0.2">
      <c r="A70" s="646" t="s">
        <v>64</v>
      </c>
      <c r="B70" s="423" t="s">
        <v>350</v>
      </c>
      <c r="C70" s="424" t="s">
        <v>351</v>
      </c>
      <c r="D70" s="425"/>
      <c r="E70" s="425">
        <v>0</v>
      </c>
      <c r="F70" s="425">
        <v>0</v>
      </c>
      <c r="G70" s="425">
        <v>0</v>
      </c>
      <c r="H70" s="425">
        <v>0</v>
      </c>
      <c r="I70" s="425">
        <v>0</v>
      </c>
      <c r="J70" s="425">
        <v>0</v>
      </c>
      <c r="K70" s="425">
        <f t="shared" si="73"/>
        <v>0</v>
      </c>
      <c r="L70" s="508">
        <f t="shared" si="74"/>
        <v>0</v>
      </c>
      <c r="M70" s="526">
        <v>0</v>
      </c>
      <c r="N70" s="425">
        <v>0</v>
      </c>
      <c r="O70" s="425">
        <v>0</v>
      </c>
      <c r="P70" s="425">
        <v>0</v>
      </c>
      <c r="Q70" s="527">
        <v>0</v>
      </c>
      <c r="R70" s="516">
        <f t="shared" si="76"/>
        <v>0</v>
      </c>
      <c r="S70" s="469" t="e">
        <f t="shared" si="6"/>
        <v>#DIV/0!</v>
      </c>
    </row>
    <row r="71" spans="1:22" s="7" customFormat="1" ht="28.8" hidden="1" x14ac:dyDescent="0.2">
      <c r="A71" s="448" t="s">
        <v>64</v>
      </c>
      <c r="B71" s="420" t="s">
        <v>352</v>
      </c>
      <c r="C71" s="654" t="s">
        <v>466</v>
      </c>
      <c r="D71" s="422">
        <f t="shared" ref="D71:R71" si="77">SUM(D72)</f>
        <v>0</v>
      </c>
      <c r="E71" s="422">
        <f t="shared" si="77"/>
        <v>0</v>
      </c>
      <c r="F71" s="422">
        <f t="shared" si="77"/>
        <v>0</v>
      </c>
      <c r="G71" s="422">
        <f t="shared" si="77"/>
        <v>0</v>
      </c>
      <c r="H71" s="422">
        <f t="shared" si="77"/>
        <v>0</v>
      </c>
      <c r="I71" s="422">
        <f t="shared" si="77"/>
        <v>0</v>
      </c>
      <c r="J71" s="422">
        <f t="shared" si="77"/>
        <v>0</v>
      </c>
      <c r="K71" s="422">
        <f t="shared" si="77"/>
        <v>0</v>
      </c>
      <c r="L71" s="507">
        <f t="shared" si="77"/>
        <v>0</v>
      </c>
      <c r="M71" s="524">
        <v>0</v>
      </c>
      <c r="N71" s="422">
        <v>0</v>
      </c>
      <c r="O71" s="422">
        <v>0</v>
      </c>
      <c r="P71" s="422">
        <f t="shared" si="77"/>
        <v>0</v>
      </c>
      <c r="Q71" s="525">
        <f t="shared" si="77"/>
        <v>0</v>
      </c>
      <c r="R71" s="515">
        <f t="shared" si="77"/>
        <v>0</v>
      </c>
      <c r="S71" s="468" t="e">
        <f t="shared" si="6"/>
        <v>#DIV/0!</v>
      </c>
    </row>
    <row r="72" spans="1:22" s="7" customFormat="1" hidden="1" x14ac:dyDescent="0.2">
      <c r="A72" s="646" t="s">
        <v>64</v>
      </c>
      <c r="B72" s="423" t="s">
        <v>353</v>
      </c>
      <c r="C72" s="424" t="s">
        <v>82</v>
      </c>
      <c r="D72" s="425"/>
      <c r="E72" s="425">
        <v>0</v>
      </c>
      <c r="F72" s="425">
        <v>0</v>
      </c>
      <c r="G72" s="425">
        <v>0</v>
      </c>
      <c r="H72" s="425">
        <v>0</v>
      </c>
      <c r="I72" s="425">
        <v>0</v>
      </c>
      <c r="J72" s="425">
        <v>0</v>
      </c>
      <c r="K72" s="425">
        <f>SUM(E72:J72)</f>
        <v>0</v>
      </c>
      <c r="L72" s="508">
        <f>D72+K72</f>
        <v>0</v>
      </c>
      <c r="M72" s="526">
        <v>0</v>
      </c>
      <c r="N72" s="425">
        <v>0</v>
      </c>
      <c r="O72" s="425">
        <v>0</v>
      </c>
      <c r="P72" s="425">
        <v>0</v>
      </c>
      <c r="Q72" s="527">
        <v>0</v>
      </c>
      <c r="R72" s="516">
        <f>L72-Q72</f>
        <v>0</v>
      </c>
      <c r="S72" s="469" t="e">
        <f t="shared" si="6"/>
        <v>#DIV/0!</v>
      </c>
    </row>
    <row r="73" spans="1:22" s="7" customFormat="1" ht="28.8" x14ac:dyDescent="0.2">
      <c r="A73" s="448" t="s">
        <v>64</v>
      </c>
      <c r="B73" s="420" t="s">
        <v>354</v>
      </c>
      <c r="C73" s="654" t="s">
        <v>355</v>
      </c>
      <c r="D73" s="422">
        <f t="shared" ref="D73" si="78">SUM(D74:D76)</f>
        <v>313000000</v>
      </c>
      <c r="E73" s="422">
        <f t="shared" ref="E73:R73" si="79">SUM(E74:E76)</f>
        <v>0</v>
      </c>
      <c r="F73" s="422">
        <f t="shared" si="79"/>
        <v>22035000</v>
      </c>
      <c r="G73" s="422">
        <f t="shared" si="79"/>
        <v>0</v>
      </c>
      <c r="H73" s="422">
        <f t="shared" si="79"/>
        <v>0</v>
      </c>
      <c r="I73" s="422">
        <f t="shared" ref="I73" si="80">SUM(I74:I76)</f>
        <v>0</v>
      </c>
      <c r="J73" s="422">
        <f t="shared" si="79"/>
        <v>0</v>
      </c>
      <c r="K73" s="422">
        <f t="shared" si="79"/>
        <v>22035000</v>
      </c>
      <c r="L73" s="507">
        <f t="shared" si="79"/>
        <v>335035000</v>
      </c>
      <c r="M73" s="524">
        <v>495512.16</v>
      </c>
      <c r="N73" s="422">
        <v>3755000</v>
      </c>
      <c r="O73" s="422">
        <v>16098800</v>
      </c>
      <c r="P73" s="422">
        <f t="shared" si="79"/>
        <v>10661850</v>
      </c>
      <c r="Q73" s="525">
        <f t="shared" si="79"/>
        <v>31011162.16</v>
      </c>
      <c r="R73" s="515">
        <f t="shared" si="79"/>
        <v>304023837.83999997</v>
      </c>
      <c r="S73" s="468">
        <f t="shared" si="6"/>
        <v>9.2560962765084243E-2</v>
      </c>
    </row>
    <row r="74" spans="1:22" s="7" customFormat="1" x14ac:dyDescent="0.2">
      <c r="A74" s="646" t="s">
        <v>64</v>
      </c>
      <c r="B74" s="423" t="s">
        <v>356</v>
      </c>
      <c r="C74" s="424" t="s">
        <v>83</v>
      </c>
      <c r="D74" s="425">
        <v>313000000</v>
      </c>
      <c r="E74" s="425">
        <v>0</v>
      </c>
      <c r="F74" s="425">
        <v>20035000</v>
      </c>
      <c r="G74" s="425">
        <v>0</v>
      </c>
      <c r="H74" s="425">
        <v>0</v>
      </c>
      <c r="I74" s="425">
        <v>0</v>
      </c>
      <c r="J74" s="425">
        <v>0</v>
      </c>
      <c r="K74" s="425">
        <f t="shared" ref="K74:K76" si="81">SUM(E74:J74)</f>
        <v>20035000</v>
      </c>
      <c r="L74" s="508">
        <f t="shared" ref="L74:L76" si="82">D74+K74</f>
        <v>333035000</v>
      </c>
      <c r="M74" s="526">
        <v>495512.16</v>
      </c>
      <c r="N74" s="425">
        <v>3755000</v>
      </c>
      <c r="O74" s="425">
        <v>16098800</v>
      </c>
      <c r="P74" s="425">
        <f t="shared" ref="P74:P75" si="83">Q74-M74-N74-O74</f>
        <v>10661850</v>
      </c>
      <c r="Q74" s="527">
        <v>31011162.16</v>
      </c>
      <c r="R74" s="516">
        <f t="shared" ref="R74:R76" si="84">L74-Q74</f>
        <v>302023837.83999997</v>
      </c>
      <c r="S74" s="469">
        <f t="shared" si="6"/>
        <v>9.3116826039305184E-2</v>
      </c>
    </row>
    <row r="75" spans="1:22" s="8" customFormat="1" ht="28.8" x14ac:dyDescent="0.2">
      <c r="A75" s="435" t="s">
        <v>64</v>
      </c>
      <c r="B75" s="423" t="s">
        <v>357</v>
      </c>
      <c r="C75" s="424" t="s">
        <v>84</v>
      </c>
      <c r="D75" s="425">
        <v>0</v>
      </c>
      <c r="E75" s="425">
        <v>0</v>
      </c>
      <c r="F75" s="425">
        <v>2000000</v>
      </c>
      <c r="G75" s="425">
        <v>0</v>
      </c>
      <c r="H75" s="425">
        <v>0</v>
      </c>
      <c r="I75" s="425">
        <v>0</v>
      </c>
      <c r="J75" s="425">
        <v>0</v>
      </c>
      <c r="K75" s="425">
        <f t="shared" si="81"/>
        <v>2000000</v>
      </c>
      <c r="L75" s="508">
        <f t="shared" si="82"/>
        <v>2000000</v>
      </c>
      <c r="M75" s="526">
        <v>0</v>
      </c>
      <c r="N75" s="425">
        <v>0</v>
      </c>
      <c r="O75" s="425">
        <v>0</v>
      </c>
      <c r="P75" s="425">
        <f t="shared" si="83"/>
        <v>0</v>
      </c>
      <c r="Q75" s="527">
        <v>0</v>
      </c>
      <c r="R75" s="516">
        <f t="shared" si="84"/>
        <v>2000000</v>
      </c>
      <c r="S75" s="469">
        <f t="shared" si="6"/>
        <v>0</v>
      </c>
      <c r="T75" s="102"/>
    </row>
    <row r="76" spans="1:22" s="7" customFormat="1" ht="28.8" hidden="1" x14ac:dyDescent="0.2">
      <c r="A76" s="435" t="s">
        <v>64</v>
      </c>
      <c r="B76" s="423" t="s">
        <v>358</v>
      </c>
      <c r="C76" s="424" t="s">
        <v>359</v>
      </c>
      <c r="D76" s="425">
        <v>0</v>
      </c>
      <c r="E76" s="425">
        <v>0</v>
      </c>
      <c r="F76" s="425">
        <v>0</v>
      </c>
      <c r="G76" s="425">
        <v>0</v>
      </c>
      <c r="H76" s="425">
        <v>0</v>
      </c>
      <c r="I76" s="425">
        <v>0</v>
      </c>
      <c r="J76" s="425">
        <v>0</v>
      </c>
      <c r="K76" s="425">
        <f t="shared" si="81"/>
        <v>0</v>
      </c>
      <c r="L76" s="508">
        <f t="shared" si="82"/>
        <v>0</v>
      </c>
      <c r="M76" s="526">
        <v>0</v>
      </c>
      <c r="N76" s="425">
        <v>0</v>
      </c>
      <c r="O76" s="425">
        <v>0</v>
      </c>
      <c r="P76" s="425">
        <v>0</v>
      </c>
      <c r="Q76" s="527">
        <v>0</v>
      </c>
      <c r="R76" s="516">
        <f t="shared" si="84"/>
        <v>0</v>
      </c>
      <c r="S76" s="469" t="e">
        <f t="shared" si="6"/>
        <v>#DIV/0!</v>
      </c>
    </row>
    <row r="77" spans="1:22" s="7" customFormat="1" ht="28.8" hidden="1" x14ac:dyDescent="0.2">
      <c r="A77" s="432" t="s">
        <v>64</v>
      </c>
      <c r="B77" s="420" t="s">
        <v>360</v>
      </c>
      <c r="C77" s="654" t="s">
        <v>361</v>
      </c>
      <c r="D77" s="422">
        <f t="shared" ref="D77" si="85">SUM(D78:D82)</f>
        <v>0</v>
      </c>
      <c r="E77" s="422">
        <f t="shared" ref="E77:R77" si="86">SUM(E78:E82)</f>
        <v>0</v>
      </c>
      <c r="F77" s="422">
        <f t="shared" si="86"/>
        <v>0</v>
      </c>
      <c r="G77" s="422">
        <f t="shared" si="86"/>
        <v>0</v>
      </c>
      <c r="H77" s="422">
        <f t="shared" si="86"/>
        <v>0</v>
      </c>
      <c r="I77" s="422">
        <f t="shared" ref="I77" si="87">SUM(I78:I82)</f>
        <v>0</v>
      </c>
      <c r="J77" s="422">
        <f t="shared" si="86"/>
        <v>0</v>
      </c>
      <c r="K77" s="422">
        <f t="shared" si="86"/>
        <v>0</v>
      </c>
      <c r="L77" s="507">
        <f t="shared" si="86"/>
        <v>0</v>
      </c>
      <c r="M77" s="524">
        <v>0</v>
      </c>
      <c r="N77" s="422">
        <v>0</v>
      </c>
      <c r="O77" s="422">
        <v>0</v>
      </c>
      <c r="P77" s="422">
        <f t="shared" si="86"/>
        <v>0</v>
      </c>
      <c r="Q77" s="525">
        <f t="shared" si="86"/>
        <v>0</v>
      </c>
      <c r="R77" s="515">
        <f t="shared" si="86"/>
        <v>0</v>
      </c>
      <c r="S77" s="468" t="e">
        <f t="shared" si="6"/>
        <v>#DIV/0!</v>
      </c>
    </row>
    <row r="78" spans="1:22" s="7" customFormat="1" ht="28.8" hidden="1" x14ac:dyDescent="0.2">
      <c r="A78" s="435" t="s">
        <v>64</v>
      </c>
      <c r="B78" s="423" t="s">
        <v>362</v>
      </c>
      <c r="C78" s="424" t="s">
        <v>467</v>
      </c>
      <c r="D78" s="425"/>
      <c r="E78" s="425">
        <v>0</v>
      </c>
      <c r="F78" s="425">
        <v>0</v>
      </c>
      <c r="G78" s="425">
        <v>0</v>
      </c>
      <c r="H78" s="425">
        <v>0</v>
      </c>
      <c r="I78" s="425">
        <v>0</v>
      </c>
      <c r="J78" s="425">
        <v>0</v>
      </c>
      <c r="K78" s="425">
        <f t="shared" ref="K78:K82" si="88">SUM(E78:J78)</f>
        <v>0</v>
      </c>
      <c r="L78" s="508">
        <f t="shared" ref="L78:L82" si="89">D78+K78</f>
        <v>0</v>
      </c>
      <c r="M78" s="526">
        <v>0</v>
      </c>
      <c r="N78" s="425">
        <v>0</v>
      </c>
      <c r="O78" s="425">
        <v>0</v>
      </c>
      <c r="P78" s="425">
        <v>0</v>
      </c>
      <c r="Q78" s="527">
        <v>0</v>
      </c>
      <c r="R78" s="516">
        <f t="shared" ref="R78:R82" si="90">L78-Q78</f>
        <v>0</v>
      </c>
      <c r="S78" s="469" t="e">
        <f t="shared" ref="S78:S142" si="91">Q78/L78</f>
        <v>#DIV/0!</v>
      </c>
    </row>
    <row r="79" spans="1:22" s="7" customFormat="1" ht="28.8" hidden="1" x14ac:dyDescent="0.2">
      <c r="A79" s="435" t="s">
        <v>64</v>
      </c>
      <c r="B79" s="423" t="s">
        <v>363</v>
      </c>
      <c r="C79" s="424" t="s">
        <v>470</v>
      </c>
      <c r="D79" s="425"/>
      <c r="E79" s="425">
        <v>0</v>
      </c>
      <c r="F79" s="425">
        <v>0</v>
      </c>
      <c r="G79" s="425">
        <v>0</v>
      </c>
      <c r="H79" s="425">
        <v>0</v>
      </c>
      <c r="I79" s="425">
        <v>0</v>
      </c>
      <c r="J79" s="425">
        <v>0</v>
      </c>
      <c r="K79" s="425">
        <f t="shared" si="88"/>
        <v>0</v>
      </c>
      <c r="L79" s="508">
        <f t="shared" si="89"/>
        <v>0</v>
      </c>
      <c r="M79" s="526">
        <v>0</v>
      </c>
      <c r="N79" s="425">
        <v>0</v>
      </c>
      <c r="O79" s="425">
        <v>0</v>
      </c>
      <c r="P79" s="425">
        <v>0</v>
      </c>
      <c r="Q79" s="527">
        <v>0</v>
      </c>
      <c r="R79" s="516">
        <f t="shared" si="90"/>
        <v>0</v>
      </c>
      <c r="S79" s="469" t="e">
        <f t="shared" si="91"/>
        <v>#DIV/0!</v>
      </c>
    </row>
    <row r="80" spans="1:22" s="7" customFormat="1" ht="28.8" hidden="1" x14ac:dyDescent="0.2">
      <c r="A80" s="435" t="s">
        <v>64</v>
      </c>
      <c r="B80" s="423" t="s">
        <v>364</v>
      </c>
      <c r="C80" s="424" t="s">
        <v>469</v>
      </c>
      <c r="D80" s="425"/>
      <c r="E80" s="425">
        <v>0</v>
      </c>
      <c r="F80" s="425">
        <v>0</v>
      </c>
      <c r="G80" s="425">
        <v>0</v>
      </c>
      <c r="H80" s="425">
        <v>0</v>
      </c>
      <c r="I80" s="425">
        <v>0</v>
      </c>
      <c r="J80" s="425">
        <v>0</v>
      </c>
      <c r="K80" s="425">
        <f t="shared" si="88"/>
        <v>0</v>
      </c>
      <c r="L80" s="508">
        <f t="shared" si="89"/>
        <v>0</v>
      </c>
      <c r="M80" s="526">
        <v>0</v>
      </c>
      <c r="N80" s="425">
        <v>0</v>
      </c>
      <c r="O80" s="425">
        <v>0</v>
      </c>
      <c r="P80" s="425">
        <v>0</v>
      </c>
      <c r="Q80" s="527">
        <v>0</v>
      </c>
      <c r="R80" s="516">
        <f t="shared" si="90"/>
        <v>0</v>
      </c>
      <c r="S80" s="469" t="e">
        <f t="shared" si="91"/>
        <v>#DIV/0!</v>
      </c>
    </row>
    <row r="81" spans="1:19" s="7" customFormat="1" ht="28.8" hidden="1" x14ac:dyDescent="0.2">
      <c r="A81" s="435" t="s">
        <v>64</v>
      </c>
      <c r="B81" s="423" t="s">
        <v>365</v>
      </c>
      <c r="C81" s="424" t="s">
        <v>471</v>
      </c>
      <c r="D81" s="425"/>
      <c r="E81" s="425">
        <v>0</v>
      </c>
      <c r="F81" s="425">
        <v>0</v>
      </c>
      <c r="G81" s="425">
        <v>0</v>
      </c>
      <c r="H81" s="425">
        <v>0</v>
      </c>
      <c r="I81" s="425">
        <v>0</v>
      </c>
      <c r="J81" s="425">
        <v>0</v>
      </c>
      <c r="K81" s="425">
        <f t="shared" si="88"/>
        <v>0</v>
      </c>
      <c r="L81" s="508">
        <f t="shared" si="89"/>
        <v>0</v>
      </c>
      <c r="M81" s="526">
        <v>0</v>
      </c>
      <c r="N81" s="425">
        <v>0</v>
      </c>
      <c r="O81" s="425">
        <v>0</v>
      </c>
      <c r="P81" s="425">
        <v>0</v>
      </c>
      <c r="Q81" s="527">
        <v>0</v>
      </c>
      <c r="R81" s="516">
        <f t="shared" si="90"/>
        <v>0</v>
      </c>
      <c r="S81" s="469" t="e">
        <f t="shared" si="91"/>
        <v>#DIV/0!</v>
      </c>
    </row>
    <row r="82" spans="1:19" s="8" customFormat="1" ht="28.8" hidden="1" x14ac:dyDescent="0.2">
      <c r="A82" s="435" t="s">
        <v>64</v>
      </c>
      <c r="B82" s="423" t="s">
        <v>366</v>
      </c>
      <c r="C82" s="424" t="s">
        <v>468</v>
      </c>
      <c r="D82" s="425"/>
      <c r="E82" s="425">
        <v>0</v>
      </c>
      <c r="F82" s="425">
        <v>0</v>
      </c>
      <c r="G82" s="425">
        <v>0</v>
      </c>
      <c r="H82" s="425">
        <v>0</v>
      </c>
      <c r="I82" s="425">
        <v>0</v>
      </c>
      <c r="J82" s="425">
        <v>0</v>
      </c>
      <c r="K82" s="425">
        <f t="shared" si="88"/>
        <v>0</v>
      </c>
      <c r="L82" s="508">
        <f t="shared" si="89"/>
        <v>0</v>
      </c>
      <c r="M82" s="526">
        <v>0</v>
      </c>
      <c r="N82" s="425">
        <v>0</v>
      </c>
      <c r="O82" s="425">
        <v>0</v>
      </c>
      <c r="P82" s="425">
        <v>0</v>
      </c>
      <c r="Q82" s="527">
        <v>0</v>
      </c>
      <c r="R82" s="516">
        <f t="shared" si="90"/>
        <v>0</v>
      </c>
      <c r="S82" s="469" t="e">
        <f t="shared" si="91"/>
        <v>#DIV/0!</v>
      </c>
    </row>
    <row r="83" spans="1:19" s="7" customFormat="1" hidden="1" x14ac:dyDescent="0.2">
      <c r="A83" s="437" t="s">
        <v>85</v>
      </c>
      <c r="B83" s="420" t="s">
        <v>367</v>
      </c>
      <c r="C83" s="654" t="s">
        <v>368</v>
      </c>
      <c r="D83" s="422">
        <f t="shared" ref="D83:R83" si="92">SUM(D84)</f>
        <v>0</v>
      </c>
      <c r="E83" s="422">
        <f t="shared" si="92"/>
        <v>0</v>
      </c>
      <c r="F83" s="422">
        <f t="shared" si="92"/>
        <v>0</v>
      </c>
      <c r="G83" s="422">
        <f t="shared" si="92"/>
        <v>0</v>
      </c>
      <c r="H83" s="422">
        <f t="shared" si="92"/>
        <v>0</v>
      </c>
      <c r="I83" s="422">
        <f t="shared" si="92"/>
        <v>0</v>
      </c>
      <c r="J83" s="422">
        <f t="shared" si="92"/>
        <v>0</v>
      </c>
      <c r="K83" s="422">
        <f t="shared" si="92"/>
        <v>0</v>
      </c>
      <c r="L83" s="507">
        <f t="shared" si="92"/>
        <v>0</v>
      </c>
      <c r="M83" s="524">
        <v>0</v>
      </c>
      <c r="N83" s="422">
        <v>0</v>
      </c>
      <c r="O83" s="422">
        <v>0</v>
      </c>
      <c r="P83" s="422">
        <f t="shared" si="92"/>
        <v>0</v>
      </c>
      <c r="Q83" s="525">
        <f t="shared" si="92"/>
        <v>0</v>
      </c>
      <c r="R83" s="515">
        <f t="shared" si="92"/>
        <v>0</v>
      </c>
      <c r="S83" s="468" t="e">
        <f t="shared" si="91"/>
        <v>#DIV/0!</v>
      </c>
    </row>
    <row r="84" spans="1:19" s="7" customFormat="1" hidden="1" x14ac:dyDescent="0.2">
      <c r="A84" s="438" t="s">
        <v>85</v>
      </c>
      <c r="B84" s="423" t="s">
        <v>369</v>
      </c>
      <c r="C84" s="424" t="s">
        <v>86</v>
      </c>
      <c r="D84" s="425"/>
      <c r="E84" s="425">
        <v>0</v>
      </c>
      <c r="F84" s="425">
        <v>0</v>
      </c>
      <c r="G84" s="425">
        <v>0</v>
      </c>
      <c r="H84" s="425">
        <v>0</v>
      </c>
      <c r="I84" s="425">
        <v>0</v>
      </c>
      <c r="J84" s="425">
        <v>0</v>
      </c>
      <c r="K84" s="425">
        <f>SUM(E84:J84)</f>
        <v>0</v>
      </c>
      <c r="L84" s="508">
        <f>D84+K84</f>
        <v>0</v>
      </c>
      <c r="M84" s="526">
        <v>0</v>
      </c>
      <c r="N84" s="425">
        <v>0</v>
      </c>
      <c r="O84" s="425">
        <v>0</v>
      </c>
      <c r="P84" s="425">
        <v>0</v>
      </c>
      <c r="Q84" s="527">
        <v>0</v>
      </c>
      <c r="R84" s="516">
        <f>L84-Q84</f>
        <v>0</v>
      </c>
      <c r="S84" s="469" t="e">
        <f t="shared" si="91"/>
        <v>#DIV/0!</v>
      </c>
    </row>
    <row r="85" spans="1:19" s="8" customFormat="1" hidden="1" x14ac:dyDescent="0.2">
      <c r="A85" s="432" t="s">
        <v>64</v>
      </c>
      <c r="B85" s="420" t="s">
        <v>370</v>
      </c>
      <c r="C85" s="654" t="s">
        <v>371</v>
      </c>
      <c r="D85" s="422">
        <f t="shared" ref="D85" si="93">SUM(D86:D87)</f>
        <v>0</v>
      </c>
      <c r="E85" s="422">
        <f t="shared" ref="E85:R85" si="94">SUM(E86:E87)</f>
        <v>0</v>
      </c>
      <c r="F85" s="422">
        <f t="shared" si="94"/>
        <v>0</v>
      </c>
      <c r="G85" s="422">
        <f t="shared" si="94"/>
        <v>0</v>
      </c>
      <c r="H85" s="422">
        <f t="shared" si="94"/>
        <v>0</v>
      </c>
      <c r="I85" s="422">
        <f t="shared" ref="I85" si="95">SUM(I86:I87)</f>
        <v>0</v>
      </c>
      <c r="J85" s="422">
        <f t="shared" si="94"/>
        <v>0</v>
      </c>
      <c r="K85" s="422">
        <f t="shared" si="94"/>
        <v>0</v>
      </c>
      <c r="L85" s="507">
        <f t="shared" si="94"/>
        <v>0</v>
      </c>
      <c r="M85" s="524">
        <v>0</v>
      </c>
      <c r="N85" s="422">
        <v>0</v>
      </c>
      <c r="O85" s="422">
        <v>0</v>
      </c>
      <c r="P85" s="422">
        <f t="shared" si="94"/>
        <v>0</v>
      </c>
      <c r="Q85" s="525">
        <f t="shared" si="94"/>
        <v>0</v>
      </c>
      <c r="R85" s="515">
        <f t="shared" si="94"/>
        <v>0</v>
      </c>
      <c r="S85" s="468" t="e">
        <f t="shared" si="91"/>
        <v>#DIV/0!</v>
      </c>
    </row>
    <row r="86" spans="1:19" s="8" customFormat="1" ht="28.8" hidden="1" x14ac:dyDescent="0.2">
      <c r="A86" s="435" t="s">
        <v>64</v>
      </c>
      <c r="B86" s="423" t="s">
        <v>372</v>
      </c>
      <c r="C86" s="424" t="s">
        <v>87</v>
      </c>
      <c r="D86" s="425"/>
      <c r="E86" s="425">
        <v>0</v>
      </c>
      <c r="F86" s="425">
        <v>0</v>
      </c>
      <c r="G86" s="425">
        <v>0</v>
      </c>
      <c r="H86" s="425">
        <v>0</v>
      </c>
      <c r="I86" s="425">
        <v>0</v>
      </c>
      <c r="J86" s="425">
        <v>0</v>
      </c>
      <c r="K86" s="425">
        <f t="shared" ref="K86:K87" si="96">SUM(E86:J86)</f>
        <v>0</v>
      </c>
      <c r="L86" s="508">
        <f t="shared" ref="L86:L87" si="97">D86+K86</f>
        <v>0</v>
      </c>
      <c r="M86" s="526">
        <v>0</v>
      </c>
      <c r="N86" s="425">
        <v>0</v>
      </c>
      <c r="O86" s="425">
        <v>0</v>
      </c>
      <c r="P86" s="425">
        <v>0</v>
      </c>
      <c r="Q86" s="527">
        <v>0</v>
      </c>
      <c r="R86" s="516">
        <f t="shared" ref="R86:R87" si="98">L86-Q86</f>
        <v>0</v>
      </c>
      <c r="S86" s="469" t="e">
        <f t="shared" si="91"/>
        <v>#DIV/0!</v>
      </c>
    </row>
    <row r="87" spans="1:19" s="7" customFormat="1" hidden="1" x14ac:dyDescent="0.2">
      <c r="A87" s="435" t="s">
        <v>64</v>
      </c>
      <c r="B87" s="423" t="s">
        <v>373</v>
      </c>
      <c r="C87" s="424" t="s">
        <v>88</v>
      </c>
      <c r="D87" s="425"/>
      <c r="E87" s="425">
        <v>0</v>
      </c>
      <c r="F87" s="425">
        <v>0</v>
      </c>
      <c r="G87" s="425">
        <v>0</v>
      </c>
      <c r="H87" s="425">
        <v>0</v>
      </c>
      <c r="I87" s="425">
        <v>0</v>
      </c>
      <c r="J87" s="425">
        <v>0</v>
      </c>
      <c r="K87" s="425">
        <f t="shared" si="96"/>
        <v>0</v>
      </c>
      <c r="L87" s="508">
        <f t="shared" si="97"/>
        <v>0</v>
      </c>
      <c r="M87" s="526">
        <v>0</v>
      </c>
      <c r="N87" s="425">
        <v>0</v>
      </c>
      <c r="O87" s="425">
        <v>0</v>
      </c>
      <c r="P87" s="425">
        <v>0</v>
      </c>
      <c r="Q87" s="527">
        <v>0</v>
      </c>
      <c r="R87" s="516">
        <f t="shared" si="98"/>
        <v>0</v>
      </c>
      <c r="S87" s="469" t="e">
        <f t="shared" si="91"/>
        <v>#DIV/0!</v>
      </c>
    </row>
    <row r="88" spans="1:19" s="8" customFormat="1" x14ac:dyDescent="0.2">
      <c r="A88" s="432"/>
      <c r="B88" s="429"/>
      <c r="C88" s="654"/>
      <c r="D88" s="428"/>
      <c r="E88" s="428"/>
      <c r="F88" s="428"/>
      <c r="G88" s="428"/>
      <c r="H88" s="428"/>
      <c r="I88" s="428"/>
      <c r="J88" s="428"/>
      <c r="K88" s="428"/>
      <c r="L88" s="509"/>
      <c r="M88" s="528"/>
      <c r="N88" s="428"/>
      <c r="O88" s="428"/>
      <c r="P88" s="428"/>
      <c r="Q88" s="529"/>
      <c r="R88" s="517"/>
      <c r="S88" s="469"/>
    </row>
    <row r="89" spans="1:19" s="8" customFormat="1" ht="28.8" x14ac:dyDescent="0.2">
      <c r="A89" s="437" t="s">
        <v>64</v>
      </c>
      <c r="B89" s="439" t="s">
        <v>374</v>
      </c>
      <c r="C89" s="655" t="s">
        <v>375</v>
      </c>
      <c r="D89" s="441">
        <f t="shared" ref="D89" si="99">SUM(D90+D95+D97+D104+D107)</f>
        <v>214885000</v>
      </c>
      <c r="E89" s="441">
        <f t="shared" ref="E89:R89" si="100">SUM(E90+E95+E97+E104+E107)</f>
        <v>0</v>
      </c>
      <c r="F89" s="441">
        <f t="shared" si="100"/>
        <v>1370000</v>
      </c>
      <c r="G89" s="441">
        <f t="shared" si="100"/>
        <v>0</v>
      </c>
      <c r="H89" s="441">
        <f t="shared" si="100"/>
        <v>0</v>
      </c>
      <c r="I89" s="441">
        <f t="shared" ref="I89" si="101">SUM(I90+I95+I97+I104+I107)</f>
        <v>0</v>
      </c>
      <c r="J89" s="441">
        <f t="shared" si="100"/>
        <v>0</v>
      </c>
      <c r="K89" s="441">
        <f t="shared" si="100"/>
        <v>1370000</v>
      </c>
      <c r="L89" s="510">
        <f t="shared" si="100"/>
        <v>216255000</v>
      </c>
      <c r="M89" s="530">
        <v>16305892.529999999</v>
      </c>
      <c r="N89" s="441">
        <v>32564691</v>
      </c>
      <c r="O89" s="441">
        <v>14093870.149999999</v>
      </c>
      <c r="P89" s="441">
        <f t="shared" si="100"/>
        <v>22995916.710000008</v>
      </c>
      <c r="Q89" s="531">
        <f t="shared" si="100"/>
        <v>85960370.390000015</v>
      </c>
      <c r="R89" s="518">
        <f t="shared" si="100"/>
        <v>130294629.60999998</v>
      </c>
      <c r="S89" s="467">
        <f t="shared" si="91"/>
        <v>0.39749541231416624</v>
      </c>
    </row>
    <row r="90" spans="1:19" s="8" customFormat="1" ht="28.8" x14ac:dyDescent="0.2">
      <c r="A90" s="432" t="s">
        <v>64</v>
      </c>
      <c r="B90" s="420" t="s">
        <v>376</v>
      </c>
      <c r="C90" s="654" t="s">
        <v>377</v>
      </c>
      <c r="D90" s="422">
        <f t="shared" ref="D90" si="102">SUM(D91:D94)</f>
        <v>12700000</v>
      </c>
      <c r="E90" s="422">
        <f t="shared" ref="E90:R90" si="103">SUM(E91:E94)</f>
        <v>0</v>
      </c>
      <c r="F90" s="422">
        <f t="shared" si="103"/>
        <v>370000</v>
      </c>
      <c r="G90" s="422">
        <f t="shared" si="103"/>
        <v>0</v>
      </c>
      <c r="H90" s="422">
        <f t="shared" si="103"/>
        <v>0</v>
      </c>
      <c r="I90" s="422">
        <f t="shared" ref="I90" si="104">SUM(I91:I94)</f>
        <v>0</v>
      </c>
      <c r="J90" s="422">
        <f t="shared" si="103"/>
        <v>0</v>
      </c>
      <c r="K90" s="422">
        <f t="shared" si="103"/>
        <v>370000</v>
      </c>
      <c r="L90" s="507">
        <f t="shared" si="103"/>
        <v>13070000</v>
      </c>
      <c r="M90" s="524">
        <v>1216363.99</v>
      </c>
      <c r="N90" s="422">
        <v>1901290.65</v>
      </c>
      <c r="O90" s="422">
        <v>116512.5</v>
      </c>
      <c r="P90" s="422">
        <f t="shared" si="103"/>
        <v>1770364.0099999998</v>
      </c>
      <c r="Q90" s="525">
        <f t="shared" si="103"/>
        <v>5004531.1499999994</v>
      </c>
      <c r="R90" s="515">
        <f t="shared" si="103"/>
        <v>8065468.8500000006</v>
      </c>
      <c r="S90" s="468">
        <f t="shared" si="91"/>
        <v>0.38290215378729914</v>
      </c>
    </row>
    <row r="91" spans="1:19" s="7" customFormat="1" x14ac:dyDescent="0.2">
      <c r="A91" s="435" t="s">
        <v>64</v>
      </c>
      <c r="B91" s="423" t="s">
        <v>378</v>
      </c>
      <c r="C91" s="424" t="s">
        <v>89</v>
      </c>
      <c r="D91" s="425">
        <v>2300000</v>
      </c>
      <c r="E91" s="425">
        <v>0</v>
      </c>
      <c r="F91" s="425">
        <v>370000</v>
      </c>
      <c r="G91" s="425">
        <v>0</v>
      </c>
      <c r="H91" s="425">
        <v>0</v>
      </c>
      <c r="I91" s="425">
        <v>0</v>
      </c>
      <c r="J91" s="425">
        <v>0</v>
      </c>
      <c r="K91" s="425">
        <f t="shared" ref="K91:K94" si="105">SUM(E91:J91)</f>
        <v>370000</v>
      </c>
      <c r="L91" s="508">
        <f t="shared" ref="L91:L94" si="106">D91+K91</f>
        <v>2670000</v>
      </c>
      <c r="M91" s="526">
        <v>28500</v>
      </c>
      <c r="N91" s="425">
        <v>118580</v>
      </c>
      <c r="O91" s="425">
        <v>36000</v>
      </c>
      <c r="P91" s="425">
        <f t="shared" ref="P91:P94" si="107">Q91-M91-N91-O91</f>
        <v>38000</v>
      </c>
      <c r="Q91" s="527">
        <v>221080</v>
      </c>
      <c r="R91" s="516">
        <f t="shared" ref="R91:R94" si="108">L91-Q91</f>
        <v>2448920</v>
      </c>
      <c r="S91" s="469">
        <f t="shared" si="91"/>
        <v>8.280149812734082E-2</v>
      </c>
    </row>
    <row r="92" spans="1:19" s="8" customFormat="1" ht="28.8" x14ac:dyDescent="0.2">
      <c r="A92" s="435" t="s">
        <v>64</v>
      </c>
      <c r="B92" s="423" t="s">
        <v>379</v>
      </c>
      <c r="C92" s="424" t="s">
        <v>380</v>
      </c>
      <c r="D92" s="425">
        <v>8700000</v>
      </c>
      <c r="E92" s="425">
        <v>0</v>
      </c>
      <c r="F92" s="425">
        <v>0</v>
      </c>
      <c r="G92" s="425">
        <v>0</v>
      </c>
      <c r="H92" s="425">
        <v>0</v>
      </c>
      <c r="I92" s="425">
        <v>0</v>
      </c>
      <c r="J92" s="425">
        <v>0</v>
      </c>
      <c r="K92" s="425">
        <f t="shared" si="105"/>
        <v>0</v>
      </c>
      <c r="L92" s="508">
        <f t="shared" si="106"/>
        <v>8700000</v>
      </c>
      <c r="M92" s="526">
        <v>1000176.64</v>
      </c>
      <c r="N92" s="425">
        <v>1687027.9</v>
      </c>
      <c r="O92" s="425">
        <v>80512.5</v>
      </c>
      <c r="P92" s="425">
        <f t="shared" si="107"/>
        <v>1584814.2599999998</v>
      </c>
      <c r="Q92" s="527">
        <v>4352531.3</v>
      </c>
      <c r="R92" s="516">
        <f t="shared" si="108"/>
        <v>4347468.7</v>
      </c>
      <c r="S92" s="469">
        <f t="shared" si="91"/>
        <v>0.50029095402298851</v>
      </c>
    </row>
    <row r="93" spans="1:19" s="8" customFormat="1" x14ac:dyDescent="0.2">
      <c r="A93" s="435" t="s">
        <v>64</v>
      </c>
      <c r="B93" s="423" t="s">
        <v>381</v>
      </c>
      <c r="C93" s="424" t="s">
        <v>90</v>
      </c>
      <c r="D93" s="425">
        <v>700000</v>
      </c>
      <c r="E93" s="425">
        <v>0</v>
      </c>
      <c r="F93" s="425">
        <v>0</v>
      </c>
      <c r="G93" s="425">
        <v>0</v>
      </c>
      <c r="H93" s="425">
        <v>0</v>
      </c>
      <c r="I93" s="425">
        <v>0</v>
      </c>
      <c r="J93" s="425">
        <v>0</v>
      </c>
      <c r="K93" s="425">
        <f t="shared" si="105"/>
        <v>0</v>
      </c>
      <c r="L93" s="508">
        <f t="shared" si="106"/>
        <v>700000</v>
      </c>
      <c r="M93" s="526">
        <v>0</v>
      </c>
      <c r="N93" s="425">
        <v>0</v>
      </c>
      <c r="O93" s="425">
        <v>0</v>
      </c>
      <c r="P93" s="425">
        <f t="shared" si="107"/>
        <v>0</v>
      </c>
      <c r="Q93" s="527">
        <v>0</v>
      </c>
      <c r="R93" s="516">
        <f t="shared" si="108"/>
        <v>700000</v>
      </c>
      <c r="S93" s="469">
        <f t="shared" si="91"/>
        <v>0</v>
      </c>
    </row>
    <row r="94" spans="1:19" s="8" customFormat="1" ht="28.8" x14ac:dyDescent="0.2">
      <c r="A94" s="435" t="s">
        <v>64</v>
      </c>
      <c r="B94" s="423" t="s">
        <v>382</v>
      </c>
      <c r="C94" s="424" t="s">
        <v>91</v>
      </c>
      <c r="D94" s="425">
        <v>1000000</v>
      </c>
      <c r="E94" s="425">
        <v>0</v>
      </c>
      <c r="F94" s="425">
        <v>0</v>
      </c>
      <c r="G94" s="425">
        <v>0</v>
      </c>
      <c r="H94" s="425">
        <v>0</v>
      </c>
      <c r="I94" s="425">
        <v>0</v>
      </c>
      <c r="J94" s="425">
        <v>0</v>
      </c>
      <c r="K94" s="425">
        <f t="shared" si="105"/>
        <v>0</v>
      </c>
      <c r="L94" s="508">
        <f t="shared" si="106"/>
        <v>1000000</v>
      </c>
      <c r="M94" s="526">
        <v>187687.35</v>
      </c>
      <c r="N94" s="425">
        <v>95682.749999999971</v>
      </c>
      <c r="O94" s="425">
        <v>0</v>
      </c>
      <c r="P94" s="425">
        <f t="shared" si="107"/>
        <v>147549.75</v>
      </c>
      <c r="Q94" s="527">
        <v>430919.85</v>
      </c>
      <c r="R94" s="516">
        <f t="shared" si="108"/>
        <v>569080.15</v>
      </c>
      <c r="S94" s="469">
        <f t="shared" si="91"/>
        <v>0.43091984999999999</v>
      </c>
    </row>
    <row r="95" spans="1:19" s="7" customFormat="1" ht="28.8" x14ac:dyDescent="0.2">
      <c r="A95" s="432" t="s">
        <v>64</v>
      </c>
      <c r="B95" s="420" t="s">
        <v>383</v>
      </c>
      <c r="C95" s="654" t="s">
        <v>384</v>
      </c>
      <c r="D95" s="422">
        <f t="shared" ref="D95:R95" si="109">SUM(D96:D96)</f>
        <v>112000000</v>
      </c>
      <c r="E95" s="422">
        <f t="shared" si="109"/>
        <v>0</v>
      </c>
      <c r="F95" s="422">
        <f t="shared" si="109"/>
        <v>0</v>
      </c>
      <c r="G95" s="422">
        <f t="shared" si="109"/>
        <v>0</v>
      </c>
      <c r="H95" s="422">
        <f t="shared" si="109"/>
        <v>0</v>
      </c>
      <c r="I95" s="422">
        <f t="shared" si="109"/>
        <v>0</v>
      </c>
      <c r="J95" s="422">
        <f t="shared" si="109"/>
        <v>0</v>
      </c>
      <c r="K95" s="422">
        <f t="shared" si="109"/>
        <v>0</v>
      </c>
      <c r="L95" s="507">
        <f t="shared" si="109"/>
        <v>112000000</v>
      </c>
      <c r="M95" s="524">
        <v>7239304.8600000003</v>
      </c>
      <c r="N95" s="422">
        <v>13293355.02</v>
      </c>
      <c r="O95" s="422">
        <v>3548083.4499999993</v>
      </c>
      <c r="P95" s="422">
        <f t="shared" si="109"/>
        <v>10699261.340000004</v>
      </c>
      <c r="Q95" s="525">
        <f t="shared" si="109"/>
        <v>34780004.670000002</v>
      </c>
      <c r="R95" s="515">
        <f t="shared" si="109"/>
        <v>77219995.329999998</v>
      </c>
      <c r="S95" s="468">
        <f t="shared" si="91"/>
        <v>0.31053575598214289</v>
      </c>
    </row>
    <row r="96" spans="1:19" s="7" customFormat="1" x14ac:dyDescent="0.2">
      <c r="A96" s="435" t="s">
        <v>64</v>
      </c>
      <c r="B96" s="423" t="s">
        <v>385</v>
      </c>
      <c r="C96" s="424" t="s">
        <v>92</v>
      </c>
      <c r="D96" s="425">
        <v>112000000</v>
      </c>
      <c r="E96" s="425">
        <v>0</v>
      </c>
      <c r="F96" s="425">
        <v>0</v>
      </c>
      <c r="G96" s="425">
        <v>0</v>
      </c>
      <c r="H96" s="425">
        <v>0</v>
      </c>
      <c r="I96" s="425">
        <v>0</v>
      </c>
      <c r="J96" s="425">
        <v>0</v>
      </c>
      <c r="K96" s="425">
        <f>SUM(E96:J96)</f>
        <v>0</v>
      </c>
      <c r="L96" s="508">
        <f>D96+K96</f>
        <v>112000000</v>
      </c>
      <c r="M96" s="526">
        <v>7239304.8600000003</v>
      </c>
      <c r="N96" s="425">
        <v>13293355.02</v>
      </c>
      <c r="O96" s="425">
        <v>3548083.4499999993</v>
      </c>
      <c r="P96" s="425">
        <f t="shared" ref="P96:P102" si="110">Q96-M96-N96-O96</f>
        <v>10699261.340000004</v>
      </c>
      <c r="Q96" s="527">
        <v>34780004.670000002</v>
      </c>
      <c r="R96" s="516">
        <f>L96-Q96</f>
        <v>77219995.329999998</v>
      </c>
      <c r="S96" s="469">
        <f t="shared" si="91"/>
        <v>0.31053575598214289</v>
      </c>
    </row>
    <row r="97" spans="1:24" s="645" customFormat="1" ht="28.8" x14ac:dyDescent="0.2">
      <c r="A97" s="432" t="s">
        <v>64</v>
      </c>
      <c r="B97" s="420" t="s">
        <v>386</v>
      </c>
      <c r="C97" s="654" t="s">
        <v>497</v>
      </c>
      <c r="D97" s="422">
        <f t="shared" ref="D97" si="111">SUM(D98:D103)</f>
        <v>1435000</v>
      </c>
      <c r="E97" s="422">
        <f t="shared" ref="E97:R97" si="112">SUM(E98:E103)</f>
        <v>0</v>
      </c>
      <c r="F97" s="422">
        <f t="shared" si="112"/>
        <v>0</v>
      </c>
      <c r="G97" s="422">
        <f t="shared" si="112"/>
        <v>0</v>
      </c>
      <c r="H97" s="422">
        <f t="shared" si="112"/>
        <v>0</v>
      </c>
      <c r="I97" s="422">
        <f t="shared" ref="I97" si="113">SUM(I98:I103)</f>
        <v>0</v>
      </c>
      <c r="J97" s="422">
        <f t="shared" si="112"/>
        <v>0</v>
      </c>
      <c r="K97" s="422">
        <f t="shared" si="112"/>
        <v>0</v>
      </c>
      <c r="L97" s="507">
        <f t="shared" si="112"/>
        <v>1435000</v>
      </c>
      <c r="M97" s="524">
        <v>34126</v>
      </c>
      <c r="N97" s="422">
        <v>40623.5</v>
      </c>
      <c r="O97" s="580">
        <v>0</v>
      </c>
      <c r="P97" s="422">
        <f t="shared" si="112"/>
        <v>106182.72</v>
      </c>
      <c r="Q97" s="525">
        <f t="shared" si="112"/>
        <v>180932.22</v>
      </c>
      <c r="R97" s="515">
        <f t="shared" si="112"/>
        <v>1254067.78</v>
      </c>
      <c r="S97" s="468">
        <f t="shared" si="91"/>
        <v>0.12608517073170733</v>
      </c>
    </row>
    <row r="98" spans="1:24" s="47" customFormat="1" ht="28.8" x14ac:dyDescent="0.2">
      <c r="A98" s="435" t="s">
        <v>64</v>
      </c>
      <c r="B98" s="423" t="s">
        <v>387</v>
      </c>
      <c r="C98" s="424" t="s">
        <v>93</v>
      </c>
      <c r="D98" s="425">
        <v>400000</v>
      </c>
      <c r="E98" s="425">
        <v>0</v>
      </c>
      <c r="F98" s="425">
        <v>0</v>
      </c>
      <c r="G98" s="425">
        <v>0</v>
      </c>
      <c r="H98" s="425">
        <v>0</v>
      </c>
      <c r="I98" s="425">
        <v>0</v>
      </c>
      <c r="J98" s="425">
        <v>0</v>
      </c>
      <c r="K98" s="425">
        <f t="shared" ref="K98:K103" si="114">SUM(E98:J98)</f>
        <v>0</v>
      </c>
      <c r="L98" s="508">
        <f t="shared" ref="L98:L103" si="115">D98+K98</f>
        <v>400000</v>
      </c>
      <c r="M98" s="526">
        <v>0</v>
      </c>
      <c r="N98" s="425">
        <v>25707.5</v>
      </c>
      <c r="O98" s="425">
        <v>0</v>
      </c>
      <c r="P98" s="425">
        <f t="shared" si="110"/>
        <v>9749.0800000000017</v>
      </c>
      <c r="Q98" s="527">
        <v>35456.58</v>
      </c>
      <c r="R98" s="516">
        <f t="shared" ref="R98:R103" si="116">L98-Q98</f>
        <v>364543.42</v>
      </c>
      <c r="S98" s="469">
        <f t="shared" si="91"/>
        <v>8.8641450000000011E-2</v>
      </c>
    </row>
    <row r="99" spans="1:24" s="7" customFormat="1" hidden="1" x14ac:dyDescent="0.2">
      <c r="A99" s="435" t="s">
        <v>64</v>
      </c>
      <c r="B99" s="423" t="s">
        <v>388</v>
      </c>
      <c r="C99" s="424" t="s">
        <v>94</v>
      </c>
      <c r="D99" s="425"/>
      <c r="E99" s="425">
        <v>0</v>
      </c>
      <c r="F99" s="425">
        <v>0</v>
      </c>
      <c r="G99" s="425">
        <v>0</v>
      </c>
      <c r="H99" s="425">
        <v>0</v>
      </c>
      <c r="I99" s="425">
        <v>0</v>
      </c>
      <c r="J99" s="425">
        <v>0</v>
      </c>
      <c r="K99" s="425">
        <f t="shared" si="114"/>
        <v>0</v>
      </c>
      <c r="L99" s="508">
        <f t="shared" si="115"/>
        <v>0</v>
      </c>
      <c r="M99" s="526">
        <v>0</v>
      </c>
      <c r="N99" s="425">
        <v>0</v>
      </c>
      <c r="O99" s="425">
        <v>0</v>
      </c>
      <c r="P99" s="425">
        <f t="shared" si="110"/>
        <v>0</v>
      </c>
      <c r="Q99" s="527">
        <v>0</v>
      </c>
      <c r="R99" s="516">
        <f t="shared" si="116"/>
        <v>0</v>
      </c>
      <c r="S99" s="469" t="e">
        <f t="shared" si="91"/>
        <v>#DIV/0!</v>
      </c>
      <c r="V99" s="101"/>
    </row>
    <row r="100" spans="1:24" s="7" customFormat="1" ht="28.8" x14ac:dyDescent="0.2">
      <c r="A100" s="435" t="s">
        <v>64</v>
      </c>
      <c r="B100" s="423" t="s">
        <v>389</v>
      </c>
      <c r="C100" s="424" t="s">
        <v>496</v>
      </c>
      <c r="D100" s="425">
        <v>800000</v>
      </c>
      <c r="E100" s="425">
        <v>0</v>
      </c>
      <c r="F100" s="425">
        <v>0</v>
      </c>
      <c r="G100" s="425">
        <v>0</v>
      </c>
      <c r="H100" s="425">
        <v>0</v>
      </c>
      <c r="I100" s="425">
        <v>0</v>
      </c>
      <c r="J100" s="425">
        <v>0</v>
      </c>
      <c r="K100" s="425">
        <f t="shared" si="114"/>
        <v>0</v>
      </c>
      <c r="L100" s="508">
        <f t="shared" si="115"/>
        <v>800000</v>
      </c>
      <c r="M100" s="526">
        <v>14916</v>
      </c>
      <c r="N100" s="425">
        <v>14916</v>
      </c>
      <c r="O100" s="425">
        <v>0</v>
      </c>
      <c r="P100" s="425">
        <f t="shared" si="110"/>
        <v>96433.64</v>
      </c>
      <c r="Q100" s="527">
        <v>126265.64</v>
      </c>
      <c r="R100" s="516">
        <f t="shared" si="116"/>
        <v>673734.36</v>
      </c>
      <c r="S100" s="469">
        <f t="shared" si="91"/>
        <v>0.15783205</v>
      </c>
    </row>
    <row r="101" spans="1:24" s="7" customFormat="1" ht="28.8" hidden="1" x14ac:dyDescent="0.2">
      <c r="A101" s="435" t="s">
        <v>64</v>
      </c>
      <c r="B101" s="423" t="s">
        <v>390</v>
      </c>
      <c r="C101" s="424" t="s">
        <v>95</v>
      </c>
      <c r="D101" s="425"/>
      <c r="E101" s="425">
        <v>0</v>
      </c>
      <c r="F101" s="425">
        <v>0</v>
      </c>
      <c r="G101" s="425">
        <v>0</v>
      </c>
      <c r="H101" s="425">
        <v>0</v>
      </c>
      <c r="I101" s="425">
        <v>0</v>
      </c>
      <c r="J101" s="425">
        <v>0</v>
      </c>
      <c r="K101" s="425">
        <f t="shared" si="114"/>
        <v>0</v>
      </c>
      <c r="L101" s="508">
        <f t="shared" si="115"/>
        <v>0</v>
      </c>
      <c r="M101" s="526">
        <v>0</v>
      </c>
      <c r="N101" s="425">
        <v>0</v>
      </c>
      <c r="O101" s="425">
        <v>0</v>
      </c>
      <c r="P101" s="425">
        <f t="shared" si="110"/>
        <v>0</v>
      </c>
      <c r="Q101" s="527">
        <v>0</v>
      </c>
      <c r="R101" s="516">
        <f t="shared" si="116"/>
        <v>0</v>
      </c>
      <c r="S101" s="469" t="e">
        <f t="shared" si="91"/>
        <v>#DIV/0!</v>
      </c>
    </row>
    <row r="102" spans="1:24" s="7" customFormat="1" ht="28.8" x14ac:dyDescent="0.2">
      <c r="A102" s="435" t="s">
        <v>64</v>
      </c>
      <c r="B102" s="423" t="s">
        <v>391</v>
      </c>
      <c r="C102" s="424" t="s">
        <v>96</v>
      </c>
      <c r="D102" s="425">
        <v>235000</v>
      </c>
      <c r="E102" s="425">
        <v>0</v>
      </c>
      <c r="F102" s="425">
        <v>0</v>
      </c>
      <c r="G102" s="425">
        <v>0</v>
      </c>
      <c r="H102" s="425">
        <v>0</v>
      </c>
      <c r="I102" s="425">
        <v>0</v>
      </c>
      <c r="J102" s="425">
        <v>0</v>
      </c>
      <c r="K102" s="425">
        <f t="shared" si="114"/>
        <v>0</v>
      </c>
      <c r="L102" s="508">
        <f t="shared" si="115"/>
        <v>235000</v>
      </c>
      <c r="M102" s="526">
        <v>19210</v>
      </c>
      <c r="N102" s="425">
        <v>0</v>
      </c>
      <c r="O102" s="425">
        <v>0</v>
      </c>
      <c r="P102" s="425">
        <f t="shared" si="110"/>
        <v>0</v>
      </c>
      <c r="Q102" s="527">
        <v>19210</v>
      </c>
      <c r="R102" s="516">
        <f t="shared" si="116"/>
        <v>215790</v>
      </c>
      <c r="S102" s="469">
        <f t="shared" si="91"/>
        <v>8.1744680851063831E-2</v>
      </c>
    </row>
    <row r="103" spans="1:24" s="7" customFormat="1" ht="28.8" hidden="1" x14ac:dyDescent="0.2">
      <c r="A103" s="435" t="s">
        <v>64</v>
      </c>
      <c r="B103" s="423" t="s">
        <v>392</v>
      </c>
      <c r="C103" s="424" t="s">
        <v>473</v>
      </c>
      <c r="D103" s="425"/>
      <c r="E103" s="425">
        <v>0</v>
      </c>
      <c r="F103" s="425">
        <v>0</v>
      </c>
      <c r="G103" s="425">
        <v>0</v>
      </c>
      <c r="H103" s="425">
        <v>0</v>
      </c>
      <c r="I103" s="425">
        <v>0</v>
      </c>
      <c r="J103" s="425">
        <v>0</v>
      </c>
      <c r="K103" s="425">
        <f t="shared" si="114"/>
        <v>0</v>
      </c>
      <c r="L103" s="508">
        <f t="shared" si="115"/>
        <v>0</v>
      </c>
      <c r="M103" s="526">
        <v>0</v>
      </c>
      <c r="N103" s="425">
        <v>0</v>
      </c>
      <c r="O103" s="425">
        <v>0</v>
      </c>
      <c r="P103" s="425">
        <v>0</v>
      </c>
      <c r="Q103" s="527">
        <v>0</v>
      </c>
      <c r="R103" s="516">
        <f t="shared" si="116"/>
        <v>0</v>
      </c>
      <c r="S103" s="469" t="e">
        <f t="shared" si="91"/>
        <v>#DIV/0!</v>
      </c>
    </row>
    <row r="104" spans="1:24" s="329" customFormat="1" ht="28.8" x14ac:dyDescent="0.2">
      <c r="A104" s="432" t="s">
        <v>64</v>
      </c>
      <c r="B104" s="420" t="s">
        <v>393</v>
      </c>
      <c r="C104" s="654" t="s">
        <v>394</v>
      </c>
      <c r="D104" s="422">
        <f t="shared" ref="D104" si="117">SUM(D105:D106)</f>
        <v>1400000</v>
      </c>
      <c r="E104" s="422">
        <f t="shared" ref="E104:R104" si="118">SUM(E105:E106)</f>
        <v>0</v>
      </c>
      <c r="F104" s="422">
        <f t="shared" si="118"/>
        <v>0</v>
      </c>
      <c r="G104" s="422">
        <f t="shared" si="118"/>
        <v>0</v>
      </c>
      <c r="H104" s="422">
        <f t="shared" si="118"/>
        <v>0</v>
      </c>
      <c r="I104" s="422">
        <f t="shared" ref="I104" si="119">SUM(I105:I106)</f>
        <v>0</v>
      </c>
      <c r="J104" s="422">
        <f t="shared" si="118"/>
        <v>0</v>
      </c>
      <c r="K104" s="422">
        <f t="shared" si="118"/>
        <v>0</v>
      </c>
      <c r="L104" s="507">
        <f t="shared" si="118"/>
        <v>1400000</v>
      </c>
      <c r="M104" s="524">
        <v>207157.25</v>
      </c>
      <c r="N104" s="422">
        <v>111638.34999999998</v>
      </c>
      <c r="O104" s="422">
        <v>27967.5</v>
      </c>
      <c r="P104" s="422">
        <f t="shared" si="118"/>
        <v>219400.57000000007</v>
      </c>
      <c r="Q104" s="525">
        <f t="shared" si="118"/>
        <v>566163.67000000004</v>
      </c>
      <c r="R104" s="515">
        <f t="shared" si="118"/>
        <v>833836.33</v>
      </c>
      <c r="S104" s="468">
        <f t="shared" si="91"/>
        <v>0.40440262142857147</v>
      </c>
      <c r="T104" s="7"/>
      <c r="U104" s="7"/>
      <c r="V104" s="7"/>
      <c r="W104" s="7"/>
      <c r="X104" s="7"/>
    </row>
    <row r="105" spans="1:24" s="329" customFormat="1" ht="28.8" x14ac:dyDescent="0.2">
      <c r="A105" s="435" t="s">
        <v>64</v>
      </c>
      <c r="B105" s="423" t="s">
        <v>395</v>
      </c>
      <c r="C105" s="424" t="s">
        <v>97</v>
      </c>
      <c r="D105" s="425">
        <v>1400000</v>
      </c>
      <c r="E105" s="425">
        <v>0</v>
      </c>
      <c r="F105" s="425">
        <v>0</v>
      </c>
      <c r="G105" s="425">
        <v>0</v>
      </c>
      <c r="H105" s="425">
        <v>0</v>
      </c>
      <c r="I105" s="425">
        <v>0</v>
      </c>
      <c r="J105" s="425">
        <v>0</v>
      </c>
      <c r="K105" s="425">
        <f>SUM(E105:J105)</f>
        <v>0</v>
      </c>
      <c r="L105" s="508">
        <f>D105+K105</f>
        <v>1400000</v>
      </c>
      <c r="M105" s="526">
        <v>207157.25</v>
      </c>
      <c r="N105" s="425">
        <v>111638.34999999998</v>
      </c>
      <c r="O105" s="425">
        <v>27967.5</v>
      </c>
      <c r="P105" s="425">
        <f>Q105-M105-N105-O105</f>
        <v>219400.57000000007</v>
      </c>
      <c r="Q105" s="527">
        <v>566163.67000000004</v>
      </c>
      <c r="R105" s="516">
        <f t="shared" ref="R105:R106" si="120">L105-Q105</f>
        <v>833836.33</v>
      </c>
      <c r="S105" s="469">
        <f t="shared" si="91"/>
        <v>0.40440262142857147</v>
      </c>
      <c r="T105" s="7"/>
      <c r="U105" s="7"/>
      <c r="V105" s="7"/>
      <c r="W105" s="7"/>
      <c r="X105" s="7"/>
    </row>
    <row r="106" spans="1:24" s="7" customFormat="1" hidden="1" x14ac:dyDescent="0.2">
      <c r="A106" s="435" t="s">
        <v>64</v>
      </c>
      <c r="B106" s="423" t="s">
        <v>396</v>
      </c>
      <c r="C106" s="424" t="s">
        <v>98</v>
      </c>
      <c r="D106" s="425"/>
      <c r="E106" s="425"/>
      <c r="F106" s="425"/>
      <c r="G106" s="425"/>
      <c r="H106" s="425"/>
      <c r="I106" s="425"/>
      <c r="J106" s="425"/>
      <c r="K106" s="425"/>
      <c r="L106" s="508"/>
      <c r="M106" s="526"/>
      <c r="N106" s="425"/>
      <c r="O106" s="425"/>
      <c r="P106" s="425"/>
      <c r="Q106" s="527"/>
      <c r="R106" s="516">
        <f t="shared" si="120"/>
        <v>0</v>
      </c>
      <c r="S106" s="469" t="e">
        <f t="shared" si="91"/>
        <v>#DIV/0!</v>
      </c>
    </row>
    <row r="107" spans="1:24" s="7" customFormat="1" ht="28.8" x14ac:dyDescent="0.2">
      <c r="A107" s="432" t="s">
        <v>64</v>
      </c>
      <c r="B107" s="430">
        <v>299</v>
      </c>
      <c r="C107" s="654" t="s">
        <v>474</v>
      </c>
      <c r="D107" s="422">
        <f t="shared" ref="D107" si="121">SUM(D108:D115)</f>
        <v>87350000</v>
      </c>
      <c r="E107" s="422">
        <f t="shared" ref="E107:R107" si="122">SUM(E108:E115)</f>
        <v>0</v>
      </c>
      <c r="F107" s="422">
        <f t="shared" si="122"/>
        <v>1000000</v>
      </c>
      <c r="G107" s="422">
        <f t="shared" si="122"/>
        <v>0</v>
      </c>
      <c r="H107" s="422">
        <f t="shared" si="122"/>
        <v>0</v>
      </c>
      <c r="I107" s="422">
        <f t="shared" ref="I107" si="123">SUM(I108:I115)</f>
        <v>0</v>
      </c>
      <c r="J107" s="422">
        <f t="shared" si="122"/>
        <v>0</v>
      </c>
      <c r="K107" s="422">
        <f t="shared" si="122"/>
        <v>1000000</v>
      </c>
      <c r="L107" s="507">
        <f t="shared" si="122"/>
        <v>88350000</v>
      </c>
      <c r="M107" s="524">
        <v>7608940.4299999997</v>
      </c>
      <c r="N107" s="422">
        <v>17217783.48</v>
      </c>
      <c r="O107" s="422">
        <v>10401306.699999999</v>
      </c>
      <c r="P107" s="422">
        <f t="shared" si="122"/>
        <v>10200708.070000002</v>
      </c>
      <c r="Q107" s="525">
        <f t="shared" si="122"/>
        <v>45428738.680000007</v>
      </c>
      <c r="R107" s="515">
        <f t="shared" si="122"/>
        <v>42921261.319999993</v>
      </c>
      <c r="S107" s="468">
        <f t="shared" si="91"/>
        <v>0.51419059060554617</v>
      </c>
    </row>
    <row r="108" spans="1:24" s="7" customFormat="1" ht="28.8" x14ac:dyDescent="0.2">
      <c r="A108" s="435" t="s">
        <v>64</v>
      </c>
      <c r="B108" s="423" t="s">
        <v>397</v>
      </c>
      <c r="C108" s="424" t="s">
        <v>99</v>
      </c>
      <c r="D108" s="425">
        <v>5500000</v>
      </c>
      <c r="E108" s="425">
        <v>0</v>
      </c>
      <c r="F108" s="425">
        <v>1000000</v>
      </c>
      <c r="G108" s="425">
        <v>0</v>
      </c>
      <c r="H108" s="425">
        <v>0</v>
      </c>
      <c r="I108" s="425">
        <v>0</v>
      </c>
      <c r="J108" s="425">
        <v>0</v>
      </c>
      <c r="K108" s="425">
        <f t="shared" ref="K108:K115" si="124">SUM(E108:J108)</f>
        <v>1000000</v>
      </c>
      <c r="L108" s="508">
        <f t="shared" ref="L108:L115" si="125">D108+K108</f>
        <v>6500000</v>
      </c>
      <c r="M108" s="526">
        <v>771438.88</v>
      </c>
      <c r="N108" s="425">
        <v>806986.66</v>
      </c>
      <c r="O108" s="425">
        <v>18588.5</v>
      </c>
      <c r="P108" s="425">
        <f t="shared" ref="P108:P115" si="126">Q108-M108-N108-O108</f>
        <v>1074018.7799999998</v>
      </c>
      <c r="Q108" s="527">
        <v>2671032.8199999998</v>
      </c>
      <c r="R108" s="516">
        <f t="shared" ref="R108:R115" si="127">L108-Q108</f>
        <v>3828967.18</v>
      </c>
      <c r="S108" s="469">
        <f t="shared" si="91"/>
        <v>0.41092812615384611</v>
      </c>
    </row>
    <row r="109" spans="1:24" s="7" customFormat="1" ht="28.8" hidden="1" x14ac:dyDescent="0.2">
      <c r="A109" s="435" t="s">
        <v>64</v>
      </c>
      <c r="B109" s="423" t="s">
        <v>398</v>
      </c>
      <c r="C109" s="424" t="s">
        <v>478</v>
      </c>
      <c r="D109" s="425"/>
      <c r="E109" s="425">
        <v>0</v>
      </c>
      <c r="F109" s="425">
        <v>0</v>
      </c>
      <c r="G109" s="425">
        <v>0</v>
      </c>
      <c r="H109" s="425">
        <v>0</v>
      </c>
      <c r="I109" s="425">
        <v>0</v>
      </c>
      <c r="J109" s="425">
        <v>0</v>
      </c>
      <c r="K109" s="425">
        <f t="shared" si="124"/>
        <v>0</v>
      </c>
      <c r="L109" s="508">
        <f t="shared" si="125"/>
        <v>0</v>
      </c>
      <c r="M109" s="526">
        <v>0</v>
      </c>
      <c r="N109" s="425">
        <v>0</v>
      </c>
      <c r="O109" s="425">
        <v>0</v>
      </c>
      <c r="P109" s="425">
        <f t="shared" si="126"/>
        <v>0</v>
      </c>
      <c r="Q109" s="527">
        <v>0</v>
      </c>
      <c r="R109" s="516">
        <f t="shared" si="127"/>
        <v>0</v>
      </c>
      <c r="S109" s="469" t="e">
        <f t="shared" si="91"/>
        <v>#DIV/0!</v>
      </c>
    </row>
    <row r="110" spans="1:24" s="7" customFormat="1" ht="28.8" x14ac:dyDescent="0.2">
      <c r="A110" s="435" t="s">
        <v>64</v>
      </c>
      <c r="B110" s="423" t="s">
        <v>399</v>
      </c>
      <c r="C110" s="424" t="s">
        <v>100</v>
      </c>
      <c r="D110" s="425">
        <v>8000000</v>
      </c>
      <c r="E110" s="425">
        <v>0</v>
      </c>
      <c r="F110" s="425">
        <v>0</v>
      </c>
      <c r="G110" s="425">
        <v>0</v>
      </c>
      <c r="H110" s="425">
        <v>0</v>
      </c>
      <c r="I110" s="425">
        <v>0</v>
      </c>
      <c r="J110" s="425">
        <v>0</v>
      </c>
      <c r="K110" s="425">
        <f t="shared" si="124"/>
        <v>0</v>
      </c>
      <c r="L110" s="508">
        <f t="shared" si="125"/>
        <v>8000000</v>
      </c>
      <c r="M110" s="526">
        <v>1483787.8</v>
      </c>
      <c r="N110" s="425">
        <v>439738.53</v>
      </c>
      <c r="O110" s="425">
        <v>49490</v>
      </c>
      <c r="P110" s="425">
        <f t="shared" si="126"/>
        <v>1602519.5</v>
      </c>
      <c r="Q110" s="527">
        <v>3575535.83</v>
      </c>
      <c r="R110" s="516">
        <f t="shared" si="127"/>
        <v>4424464.17</v>
      </c>
      <c r="S110" s="469">
        <f t="shared" si="91"/>
        <v>0.44694197875000002</v>
      </c>
    </row>
    <row r="111" spans="1:24" s="7" customFormat="1" x14ac:dyDescent="0.2">
      <c r="A111" s="435" t="s">
        <v>64</v>
      </c>
      <c r="B111" s="423" t="s">
        <v>400</v>
      </c>
      <c r="C111" s="424" t="s">
        <v>101</v>
      </c>
      <c r="D111" s="425">
        <v>45000000</v>
      </c>
      <c r="E111" s="425">
        <v>0</v>
      </c>
      <c r="F111" s="425">
        <v>0</v>
      </c>
      <c r="G111" s="425">
        <v>0</v>
      </c>
      <c r="H111" s="425">
        <v>0</v>
      </c>
      <c r="I111" s="425">
        <v>0</v>
      </c>
      <c r="J111" s="425">
        <v>0</v>
      </c>
      <c r="K111" s="425">
        <f t="shared" si="124"/>
        <v>0</v>
      </c>
      <c r="L111" s="508">
        <f t="shared" si="125"/>
        <v>45000000</v>
      </c>
      <c r="M111" s="526">
        <v>2929392</v>
      </c>
      <c r="N111" s="425">
        <v>13775599.99</v>
      </c>
      <c r="O111" s="425">
        <v>9925354.9999999981</v>
      </c>
      <c r="P111" s="425">
        <f t="shared" si="126"/>
        <v>2633286.7700000033</v>
      </c>
      <c r="Q111" s="527">
        <v>29263633.760000002</v>
      </c>
      <c r="R111" s="516">
        <f t="shared" si="127"/>
        <v>15736366.239999998</v>
      </c>
      <c r="S111" s="469">
        <f t="shared" si="91"/>
        <v>0.65030297244444446</v>
      </c>
    </row>
    <row r="112" spans="1:24" s="7" customFormat="1" ht="28.8" x14ac:dyDescent="0.2">
      <c r="A112" s="435" t="s">
        <v>64</v>
      </c>
      <c r="B112" s="423" t="s">
        <v>401</v>
      </c>
      <c r="C112" s="424" t="s">
        <v>102</v>
      </c>
      <c r="D112" s="425">
        <v>13500000</v>
      </c>
      <c r="E112" s="425">
        <v>0</v>
      </c>
      <c r="F112" s="425">
        <v>0</v>
      </c>
      <c r="G112" s="425">
        <v>0</v>
      </c>
      <c r="H112" s="425">
        <v>0</v>
      </c>
      <c r="I112" s="425">
        <v>0</v>
      </c>
      <c r="J112" s="425">
        <v>0</v>
      </c>
      <c r="K112" s="425">
        <f t="shared" si="124"/>
        <v>0</v>
      </c>
      <c r="L112" s="508">
        <f t="shared" si="125"/>
        <v>13500000</v>
      </c>
      <c r="M112" s="526">
        <v>1475873.15</v>
      </c>
      <c r="N112" s="425">
        <v>502640.40000000014</v>
      </c>
      <c r="O112" s="425">
        <v>187722.55000000005</v>
      </c>
      <c r="P112" s="425">
        <f t="shared" si="126"/>
        <v>2866690.41</v>
      </c>
      <c r="Q112" s="527">
        <v>5032926.51</v>
      </c>
      <c r="R112" s="516">
        <f t="shared" si="127"/>
        <v>8467073.4900000002</v>
      </c>
      <c r="S112" s="469">
        <f t="shared" si="91"/>
        <v>0.37280937111111112</v>
      </c>
    </row>
    <row r="113" spans="1:19" s="7" customFormat="1" ht="28.8" x14ac:dyDescent="0.2">
      <c r="A113" s="435" t="s">
        <v>64</v>
      </c>
      <c r="B113" s="423" t="s">
        <v>402</v>
      </c>
      <c r="C113" s="424" t="s">
        <v>403</v>
      </c>
      <c r="D113" s="425">
        <v>150000</v>
      </c>
      <c r="E113" s="425">
        <v>0</v>
      </c>
      <c r="F113" s="425">
        <v>0</v>
      </c>
      <c r="G113" s="425">
        <v>0</v>
      </c>
      <c r="H113" s="425">
        <v>0</v>
      </c>
      <c r="I113" s="425">
        <v>0</v>
      </c>
      <c r="J113" s="425">
        <v>0</v>
      </c>
      <c r="K113" s="425">
        <f t="shared" si="124"/>
        <v>0</v>
      </c>
      <c r="L113" s="508">
        <f t="shared" si="125"/>
        <v>150000</v>
      </c>
      <c r="M113" s="526">
        <v>0</v>
      </c>
      <c r="N113" s="425">
        <v>0</v>
      </c>
      <c r="O113" s="425">
        <v>20057.5</v>
      </c>
      <c r="P113" s="425">
        <f t="shared" si="126"/>
        <v>0</v>
      </c>
      <c r="Q113" s="527">
        <v>20057.5</v>
      </c>
      <c r="R113" s="516">
        <f t="shared" si="127"/>
        <v>129942.5</v>
      </c>
      <c r="S113" s="469">
        <f t="shared" si="91"/>
        <v>0.13371666666666668</v>
      </c>
    </row>
    <row r="114" spans="1:19" s="7" customFormat="1" ht="28.8" x14ac:dyDescent="0.2">
      <c r="A114" s="435" t="s">
        <v>64</v>
      </c>
      <c r="B114" s="423" t="s">
        <v>404</v>
      </c>
      <c r="C114" s="424" t="s">
        <v>103</v>
      </c>
      <c r="D114" s="425">
        <v>6000000</v>
      </c>
      <c r="E114" s="425">
        <v>0</v>
      </c>
      <c r="F114" s="425">
        <v>0</v>
      </c>
      <c r="G114" s="425">
        <v>0</v>
      </c>
      <c r="H114" s="425">
        <v>0</v>
      </c>
      <c r="I114" s="425">
        <v>0</v>
      </c>
      <c r="J114" s="425">
        <v>0</v>
      </c>
      <c r="K114" s="425">
        <f t="shared" si="124"/>
        <v>0</v>
      </c>
      <c r="L114" s="508">
        <f t="shared" si="125"/>
        <v>6000000</v>
      </c>
      <c r="M114" s="526">
        <v>89253.05</v>
      </c>
      <c r="N114" s="425">
        <v>261046.95</v>
      </c>
      <c r="O114" s="425">
        <v>0</v>
      </c>
      <c r="P114" s="425">
        <f t="shared" si="126"/>
        <v>522528.9499999999</v>
      </c>
      <c r="Q114" s="527">
        <v>872828.95</v>
      </c>
      <c r="R114" s="516">
        <f t="shared" si="127"/>
        <v>5127171.05</v>
      </c>
      <c r="S114" s="469">
        <f t="shared" si="91"/>
        <v>0.14547149166666665</v>
      </c>
    </row>
    <row r="115" spans="1:19" s="8" customFormat="1" ht="28.8" x14ac:dyDescent="0.2">
      <c r="A115" s="435" t="s">
        <v>64</v>
      </c>
      <c r="B115" s="423" t="s">
        <v>405</v>
      </c>
      <c r="C115" s="424" t="s">
        <v>479</v>
      </c>
      <c r="D115" s="425">
        <v>9200000</v>
      </c>
      <c r="E115" s="425">
        <v>0</v>
      </c>
      <c r="F115" s="425">
        <v>0</v>
      </c>
      <c r="G115" s="425">
        <v>0</v>
      </c>
      <c r="H115" s="425">
        <v>0</v>
      </c>
      <c r="I115" s="425">
        <v>0</v>
      </c>
      <c r="J115" s="425">
        <v>0</v>
      </c>
      <c r="K115" s="425">
        <f t="shared" si="124"/>
        <v>0</v>
      </c>
      <c r="L115" s="508">
        <f t="shared" si="125"/>
        <v>9200000</v>
      </c>
      <c r="M115" s="526">
        <v>859195.55</v>
      </c>
      <c r="N115" s="425">
        <v>1431770.95</v>
      </c>
      <c r="O115" s="425">
        <v>200093.14999999991</v>
      </c>
      <c r="P115" s="425">
        <f t="shared" si="126"/>
        <v>1501663.66</v>
      </c>
      <c r="Q115" s="527">
        <v>3992723.31</v>
      </c>
      <c r="R115" s="516">
        <f t="shared" si="127"/>
        <v>5207276.6899999995</v>
      </c>
      <c r="S115" s="469">
        <f t="shared" si="91"/>
        <v>0.43399166413043477</v>
      </c>
    </row>
    <row r="116" spans="1:19" s="7" customFormat="1" x14ac:dyDescent="0.2">
      <c r="A116" s="433"/>
      <c r="B116" s="429"/>
      <c r="C116" s="654"/>
      <c r="D116" s="428"/>
      <c r="E116" s="428"/>
      <c r="F116" s="428"/>
      <c r="G116" s="428"/>
      <c r="H116" s="428"/>
      <c r="I116" s="428"/>
      <c r="J116" s="428"/>
      <c r="K116" s="428"/>
      <c r="L116" s="509"/>
      <c r="M116" s="528"/>
      <c r="N116" s="428"/>
      <c r="O116" s="428"/>
      <c r="P116" s="428"/>
      <c r="Q116" s="529"/>
      <c r="R116" s="517"/>
      <c r="S116" s="469"/>
    </row>
    <row r="117" spans="1:19" s="7" customFormat="1" x14ac:dyDescent="0.2">
      <c r="A117" s="443"/>
      <c r="B117" s="439" t="s">
        <v>406</v>
      </c>
      <c r="C117" s="655" t="s">
        <v>104</v>
      </c>
      <c r="D117" s="441">
        <f t="shared" ref="D117" si="128">SUM(D118+D124+D126+D128)</f>
        <v>0</v>
      </c>
      <c r="E117" s="441">
        <f t="shared" ref="E117:R117" si="129">SUM(E118+E124+E126+E128)</f>
        <v>0</v>
      </c>
      <c r="F117" s="441">
        <f t="shared" si="129"/>
        <v>0</v>
      </c>
      <c r="G117" s="441">
        <f t="shared" si="129"/>
        <v>0</v>
      </c>
      <c r="H117" s="441">
        <f t="shared" si="129"/>
        <v>0</v>
      </c>
      <c r="I117" s="441">
        <f t="shared" ref="I117" si="130">SUM(I118+I124+I126+I128)</f>
        <v>0</v>
      </c>
      <c r="J117" s="441">
        <f t="shared" si="129"/>
        <v>0</v>
      </c>
      <c r="K117" s="441">
        <f t="shared" si="129"/>
        <v>0</v>
      </c>
      <c r="L117" s="510">
        <f t="shared" si="129"/>
        <v>0</v>
      </c>
      <c r="M117" s="530">
        <v>0</v>
      </c>
      <c r="N117" s="441">
        <v>0</v>
      </c>
      <c r="O117" s="441">
        <v>0</v>
      </c>
      <c r="P117" s="441">
        <f t="shared" si="129"/>
        <v>0</v>
      </c>
      <c r="Q117" s="531">
        <f t="shared" si="129"/>
        <v>0</v>
      </c>
      <c r="R117" s="518">
        <f t="shared" si="129"/>
        <v>0</v>
      </c>
      <c r="S117" s="467" t="e">
        <f t="shared" si="91"/>
        <v>#DIV/0!</v>
      </c>
    </row>
    <row r="118" spans="1:19" s="7" customFormat="1" ht="28.8" hidden="1" x14ac:dyDescent="0.2">
      <c r="A118" s="432" t="s">
        <v>105</v>
      </c>
      <c r="B118" s="420" t="s">
        <v>407</v>
      </c>
      <c r="C118" s="654" t="s">
        <v>408</v>
      </c>
      <c r="D118" s="422">
        <f t="shared" ref="D118" si="131">SUM(D119:D123)</f>
        <v>0</v>
      </c>
      <c r="E118" s="422">
        <f t="shared" ref="E118:R118" si="132">SUM(E119:E123)</f>
        <v>0</v>
      </c>
      <c r="F118" s="422">
        <f t="shared" si="132"/>
        <v>0</v>
      </c>
      <c r="G118" s="422">
        <f t="shared" si="132"/>
        <v>0</v>
      </c>
      <c r="H118" s="422">
        <f t="shared" si="132"/>
        <v>0</v>
      </c>
      <c r="I118" s="422">
        <f t="shared" ref="I118" si="133">SUM(I119:I123)</f>
        <v>0</v>
      </c>
      <c r="J118" s="422">
        <f t="shared" si="132"/>
        <v>0</v>
      </c>
      <c r="K118" s="422">
        <f t="shared" si="132"/>
        <v>0</v>
      </c>
      <c r="L118" s="507">
        <f t="shared" si="132"/>
        <v>0</v>
      </c>
      <c r="M118" s="524">
        <v>0</v>
      </c>
      <c r="N118" s="422">
        <v>0</v>
      </c>
      <c r="O118" s="422">
        <v>0</v>
      </c>
      <c r="P118" s="422">
        <f t="shared" si="132"/>
        <v>0</v>
      </c>
      <c r="Q118" s="525">
        <f t="shared" si="132"/>
        <v>0</v>
      </c>
      <c r="R118" s="515">
        <f t="shared" si="132"/>
        <v>0</v>
      </c>
      <c r="S118" s="468" t="e">
        <f t="shared" si="91"/>
        <v>#DIV/0!</v>
      </c>
    </row>
    <row r="119" spans="1:19" s="7" customFormat="1" hidden="1" x14ac:dyDescent="0.2">
      <c r="A119" s="433" t="s">
        <v>105</v>
      </c>
      <c r="B119" s="423" t="s">
        <v>409</v>
      </c>
      <c r="C119" s="424" t="s">
        <v>106</v>
      </c>
      <c r="D119" s="425"/>
      <c r="E119" s="425">
        <v>0</v>
      </c>
      <c r="F119" s="425">
        <v>0</v>
      </c>
      <c r="G119" s="425">
        <v>0</v>
      </c>
      <c r="H119" s="425">
        <v>0</v>
      </c>
      <c r="I119" s="425">
        <v>0</v>
      </c>
      <c r="J119" s="425">
        <v>0</v>
      </c>
      <c r="K119" s="425">
        <f t="shared" ref="K119:K139" si="134">SUM(E119:J119)</f>
        <v>0</v>
      </c>
      <c r="L119" s="508">
        <f t="shared" ref="L119:L145" si="135">D119+K119</f>
        <v>0</v>
      </c>
      <c r="M119" s="526">
        <v>0</v>
      </c>
      <c r="N119" s="425">
        <v>0</v>
      </c>
      <c r="O119" s="425">
        <v>0</v>
      </c>
      <c r="P119" s="425">
        <v>0</v>
      </c>
      <c r="Q119" s="527">
        <v>0</v>
      </c>
      <c r="R119" s="516">
        <f t="shared" ref="R119:R128" si="136">L119-Q119</f>
        <v>0</v>
      </c>
      <c r="S119" s="469" t="e">
        <f t="shared" si="91"/>
        <v>#DIV/0!</v>
      </c>
    </row>
    <row r="120" spans="1:19" s="7" customFormat="1" ht="28.8" hidden="1" x14ac:dyDescent="0.2">
      <c r="A120" s="433" t="s">
        <v>105</v>
      </c>
      <c r="B120" s="423" t="s">
        <v>410</v>
      </c>
      <c r="C120" s="424" t="s">
        <v>107</v>
      </c>
      <c r="D120" s="425"/>
      <c r="E120" s="425">
        <v>0</v>
      </c>
      <c r="F120" s="425">
        <v>0</v>
      </c>
      <c r="G120" s="425">
        <v>0</v>
      </c>
      <c r="H120" s="425">
        <v>0</v>
      </c>
      <c r="I120" s="425">
        <v>0</v>
      </c>
      <c r="J120" s="425">
        <v>0</v>
      </c>
      <c r="K120" s="425">
        <f t="shared" si="134"/>
        <v>0</v>
      </c>
      <c r="L120" s="508">
        <f t="shared" si="135"/>
        <v>0</v>
      </c>
      <c r="M120" s="526">
        <v>0</v>
      </c>
      <c r="N120" s="425">
        <v>0</v>
      </c>
      <c r="O120" s="425">
        <v>0</v>
      </c>
      <c r="P120" s="425">
        <v>0</v>
      </c>
      <c r="Q120" s="527">
        <v>0</v>
      </c>
      <c r="R120" s="516">
        <f t="shared" si="136"/>
        <v>0</v>
      </c>
      <c r="S120" s="469" t="e">
        <f t="shared" si="91"/>
        <v>#DIV/0!</v>
      </c>
    </row>
    <row r="121" spans="1:19" s="7" customFormat="1" ht="28.8" hidden="1" x14ac:dyDescent="0.2">
      <c r="A121" s="433" t="s">
        <v>105</v>
      </c>
      <c r="B121" s="423" t="s">
        <v>411</v>
      </c>
      <c r="C121" s="424" t="s">
        <v>412</v>
      </c>
      <c r="D121" s="425"/>
      <c r="E121" s="425">
        <v>0</v>
      </c>
      <c r="F121" s="425">
        <v>0</v>
      </c>
      <c r="G121" s="425">
        <v>0</v>
      </c>
      <c r="H121" s="425">
        <v>0</v>
      </c>
      <c r="I121" s="425">
        <v>0</v>
      </c>
      <c r="J121" s="425">
        <v>0</v>
      </c>
      <c r="K121" s="425">
        <f t="shared" si="134"/>
        <v>0</v>
      </c>
      <c r="L121" s="508">
        <f t="shared" si="135"/>
        <v>0</v>
      </c>
      <c r="M121" s="526">
        <v>0</v>
      </c>
      <c r="N121" s="425">
        <v>0</v>
      </c>
      <c r="O121" s="425">
        <v>0</v>
      </c>
      <c r="P121" s="425">
        <v>0</v>
      </c>
      <c r="Q121" s="527">
        <v>0</v>
      </c>
      <c r="R121" s="516">
        <f t="shared" si="136"/>
        <v>0</v>
      </c>
      <c r="S121" s="469" t="e">
        <f t="shared" si="91"/>
        <v>#DIV/0!</v>
      </c>
    </row>
    <row r="122" spans="1:19" s="7" customFormat="1" ht="28.8" hidden="1" x14ac:dyDescent="0.2">
      <c r="A122" s="433" t="s">
        <v>105</v>
      </c>
      <c r="B122" s="423" t="s">
        <v>413</v>
      </c>
      <c r="C122" s="424" t="s">
        <v>480</v>
      </c>
      <c r="D122" s="425"/>
      <c r="E122" s="425">
        <v>0</v>
      </c>
      <c r="F122" s="425">
        <v>0</v>
      </c>
      <c r="G122" s="425">
        <v>0</v>
      </c>
      <c r="H122" s="425">
        <v>0</v>
      </c>
      <c r="I122" s="425">
        <v>0</v>
      </c>
      <c r="J122" s="425">
        <v>0</v>
      </c>
      <c r="K122" s="425">
        <f t="shared" si="134"/>
        <v>0</v>
      </c>
      <c r="L122" s="508">
        <f t="shared" si="135"/>
        <v>0</v>
      </c>
      <c r="M122" s="526">
        <v>0</v>
      </c>
      <c r="N122" s="425">
        <v>0</v>
      </c>
      <c r="O122" s="425">
        <v>0</v>
      </c>
      <c r="P122" s="425">
        <v>0</v>
      </c>
      <c r="Q122" s="527">
        <v>0</v>
      </c>
      <c r="R122" s="516">
        <f t="shared" si="136"/>
        <v>0</v>
      </c>
      <c r="S122" s="469" t="e">
        <f t="shared" si="91"/>
        <v>#DIV/0!</v>
      </c>
    </row>
    <row r="123" spans="1:19" s="7" customFormat="1" ht="28.8" hidden="1" x14ac:dyDescent="0.2">
      <c r="A123" s="433" t="s">
        <v>105</v>
      </c>
      <c r="B123" s="423" t="s">
        <v>414</v>
      </c>
      <c r="C123" s="424" t="s">
        <v>108</v>
      </c>
      <c r="D123" s="425"/>
      <c r="E123" s="425">
        <v>0</v>
      </c>
      <c r="F123" s="425">
        <v>0</v>
      </c>
      <c r="G123" s="425">
        <v>0</v>
      </c>
      <c r="H123" s="425">
        <v>0</v>
      </c>
      <c r="I123" s="425">
        <v>0</v>
      </c>
      <c r="J123" s="425">
        <v>0</v>
      </c>
      <c r="K123" s="425">
        <f t="shared" si="134"/>
        <v>0</v>
      </c>
      <c r="L123" s="508">
        <f t="shared" si="135"/>
        <v>0</v>
      </c>
      <c r="M123" s="526">
        <v>0</v>
      </c>
      <c r="N123" s="425">
        <v>0</v>
      </c>
      <c r="O123" s="425">
        <v>0</v>
      </c>
      <c r="P123" s="425">
        <v>0</v>
      </c>
      <c r="Q123" s="527">
        <v>0</v>
      </c>
      <c r="R123" s="516">
        <f t="shared" si="136"/>
        <v>0</v>
      </c>
      <c r="S123" s="469" t="e">
        <f t="shared" si="91"/>
        <v>#DIV/0!</v>
      </c>
    </row>
    <row r="124" spans="1:19" s="7" customFormat="1" ht="28.8" hidden="1" x14ac:dyDescent="0.2">
      <c r="A124" s="432">
        <v>2.1</v>
      </c>
      <c r="B124" s="420" t="s">
        <v>415</v>
      </c>
      <c r="C124" s="654" t="s">
        <v>416</v>
      </c>
      <c r="D124" s="422">
        <f t="shared" ref="D124:Q124" si="137">SUM(D125)</f>
        <v>0</v>
      </c>
      <c r="E124" s="422">
        <f t="shared" si="137"/>
        <v>0</v>
      </c>
      <c r="F124" s="422">
        <f t="shared" si="137"/>
        <v>0</v>
      </c>
      <c r="G124" s="422">
        <f t="shared" si="137"/>
        <v>0</v>
      </c>
      <c r="H124" s="422">
        <f t="shared" si="137"/>
        <v>0</v>
      </c>
      <c r="I124" s="422">
        <f t="shared" si="137"/>
        <v>0</v>
      </c>
      <c r="J124" s="422">
        <f t="shared" si="137"/>
        <v>0</v>
      </c>
      <c r="K124" s="422">
        <f t="shared" si="137"/>
        <v>0</v>
      </c>
      <c r="L124" s="507">
        <f t="shared" si="137"/>
        <v>0</v>
      </c>
      <c r="M124" s="524">
        <v>0</v>
      </c>
      <c r="N124" s="422">
        <v>0</v>
      </c>
      <c r="O124" s="422">
        <v>0</v>
      </c>
      <c r="P124" s="422">
        <f t="shared" si="137"/>
        <v>0</v>
      </c>
      <c r="Q124" s="525">
        <f t="shared" si="137"/>
        <v>0</v>
      </c>
      <c r="R124" s="553">
        <f t="shared" si="136"/>
        <v>0</v>
      </c>
      <c r="S124" s="469" t="e">
        <f t="shared" si="91"/>
        <v>#DIV/0!</v>
      </c>
    </row>
    <row r="125" spans="1:19" s="7" customFormat="1" hidden="1" x14ac:dyDescent="0.2">
      <c r="A125" s="433" t="s">
        <v>109</v>
      </c>
      <c r="B125" s="423" t="s">
        <v>417</v>
      </c>
      <c r="C125" s="424" t="s">
        <v>110</v>
      </c>
      <c r="D125" s="425"/>
      <c r="E125" s="425">
        <v>0</v>
      </c>
      <c r="F125" s="425">
        <v>0</v>
      </c>
      <c r="G125" s="425">
        <v>0</v>
      </c>
      <c r="H125" s="425">
        <v>0</v>
      </c>
      <c r="I125" s="425">
        <v>0</v>
      </c>
      <c r="J125" s="425">
        <v>0</v>
      </c>
      <c r="K125" s="425">
        <f t="shared" ref="K125" si="138">SUM(E125:J125)</f>
        <v>0</v>
      </c>
      <c r="L125" s="508">
        <f t="shared" ref="L125" si="139">D125+K125</f>
        <v>0</v>
      </c>
      <c r="M125" s="526">
        <v>0</v>
      </c>
      <c r="N125" s="425">
        <v>0</v>
      </c>
      <c r="O125" s="425">
        <v>0</v>
      </c>
      <c r="P125" s="425">
        <v>0</v>
      </c>
      <c r="Q125" s="527">
        <v>0</v>
      </c>
      <c r="R125" s="516">
        <f t="shared" ref="R125" si="140">L125-Q125</f>
        <v>0</v>
      </c>
      <c r="S125" s="469" t="e">
        <f t="shared" ref="S125" si="141">Q125/L125</f>
        <v>#DIV/0!</v>
      </c>
    </row>
    <row r="126" spans="1:19" s="7" customFormat="1" hidden="1" x14ac:dyDescent="0.2">
      <c r="A126" s="432" t="s">
        <v>448</v>
      </c>
      <c r="B126" s="420" t="s">
        <v>418</v>
      </c>
      <c r="C126" s="654" t="s">
        <v>419</v>
      </c>
      <c r="D126" s="422">
        <f t="shared" ref="D126:Q126" si="142">SUM(D127)</f>
        <v>0</v>
      </c>
      <c r="E126" s="422">
        <f t="shared" si="142"/>
        <v>0</v>
      </c>
      <c r="F126" s="422">
        <f t="shared" si="142"/>
        <v>0</v>
      </c>
      <c r="G126" s="422">
        <f t="shared" si="142"/>
        <v>0</v>
      </c>
      <c r="H126" s="422">
        <f t="shared" si="142"/>
        <v>0</v>
      </c>
      <c r="I126" s="422">
        <f t="shared" si="142"/>
        <v>0</v>
      </c>
      <c r="J126" s="422">
        <f t="shared" si="142"/>
        <v>0</v>
      </c>
      <c r="K126" s="422">
        <f t="shared" si="142"/>
        <v>0</v>
      </c>
      <c r="L126" s="507">
        <f t="shared" si="142"/>
        <v>0</v>
      </c>
      <c r="M126" s="524">
        <v>0</v>
      </c>
      <c r="N126" s="422">
        <v>0</v>
      </c>
      <c r="O126" s="422">
        <v>0</v>
      </c>
      <c r="P126" s="422">
        <f t="shared" si="142"/>
        <v>0</v>
      </c>
      <c r="Q126" s="525">
        <f t="shared" si="142"/>
        <v>0</v>
      </c>
      <c r="R126" s="553">
        <f t="shared" si="136"/>
        <v>0</v>
      </c>
      <c r="S126" s="469" t="e">
        <f t="shared" si="91"/>
        <v>#DIV/0!</v>
      </c>
    </row>
    <row r="127" spans="1:19" s="7" customFormat="1" hidden="1" x14ac:dyDescent="0.2">
      <c r="A127" s="433" t="s">
        <v>448</v>
      </c>
      <c r="B127" s="423" t="s">
        <v>420</v>
      </c>
      <c r="C127" s="424" t="s">
        <v>111</v>
      </c>
      <c r="D127" s="425">
        <v>0</v>
      </c>
      <c r="E127" s="425">
        <v>0</v>
      </c>
      <c r="F127" s="425">
        <v>0</v>
      </c>
      <c r="G127" s="425">
        <v>0</v>
      </c>
      <c r="H127" s="425">
        <v>0</v>
      </c>
      <c r="I127" s="425">
        <v>0</v>
      </c>
      <c r="J127" s="425">
        <v>0</v>
      </c>
      <c r="K127" s="425">
        <f t="shared" ref="K127" si="143">SUM(E127:J127)</f>
        <v>0</v>
      </c>
      <c r="L127" s="508">
        <f t="shared" ref="L127" si="144">D127+K127</f>
        <v>0</v>
      </c>
      <c r="M127" s="526">
        <v>0</v>
      </c>
      <c r="N127" s="425">
        <v>0</v>
      </c>
      <c r="O127" s="425">
        <v>0</v>
      </c>
      <c r="P127" s="425">
        <v>0</v>
      </c>
      <c r="Q127" s="527">
        <v>0</v>
      </c>
      <c r="R127" s="516">
        <f t="shared" ref="R127" si="145">L127-Q127</f>
        <v>0</v>
      </c>
      <c r="S127" s="469" t="e">
        <f t="shared" ref="S127" si="146">Q127/L127</f>
        <v>#DIV/0!</v>
      </c>
    </row>
    <row r="128" spans="1:19" s="7" customFormat="1" ht="28.8" hidden="1" x14ac:dyDescent="0.3">
      <c r="A128" s="432" t="s">
        <v>112</v>
      </c>
      <c r="B128" s="420" t="s">
        <v>421</v>
      </c>
      <c r="C128" s="654" t="s">
        <v>422</v>
      </c>
      <c r="D128" s="431">
        <f t="shared" ref="D128:Q128" si="147">SUM(D129)</f>
        <v>0</v>
      </c>
      <c r="E128" s="431">
        <f t="shared" si="147"/>
        <v>0</v>
      </c>
      <c r="F128" s="431">
        <f t="shared" si="147"/>
        <v>0</v>
      </c>
      <c r="G128" s="431">
        <f t="shared" si="147"/>
        <v>0</v>
      </c>
      <c r="H128" s="431">
        <f t="shared" si="147"/>
        <v>0</v>
      </c>
      <c r="I128" s="431">
        <f t="shared" si="147"/>
        <v>0</v>
      </c>
      <c r="J128" s="431">
        <f t="shared" si="147"/>
        <v>0</v>
      </c>
      <c r="K128" s="431">
        <f t="shared" si="147"/>
        <v>0</v>
      </c>
      <c r="L128" s="511">
        <f t="shared" si="147"/>
        <v>0</v>
      </c>
      <c r="M128" s="651">
        <v>0</v>
      </c>
      <c r="N128" s="431">
        <v>0</v>
      </c>
      <c r="O128" s="431">
        <v>0</v>
      </c>
      <c r="P128" s="431">
        <f t="shared" si="147"/>
        <v>0</v>
      </c>
      <c r="Q128" s="652">
        <f t="shared" si="147"/>
        <v>0</v>
      </c>
      <c r="R128" s="553">
        <f t="shared" si="136"/>
        <v>0</v>
      </c>
      <c r="S128" s="469" t="e">
        <f t="shared" si="91"/>
        <v>#DIV/0!</v>
      </c>
    </row>
    <row r="129" spans="1:19" s="7" customFormat="1" hidden="1" x14ac:dyDescent="0.2">
      <c r="A129" s="433" t="s">
        <v>112</v>
      </c>
      <c r="B129" s="423" t="s">
        <v>423</v>
      </c>
      <c r="C129" s="424" t="s">
        <v>113</v>
      </c>
      <c r="D129" s="425"/>
      <c r="E129" s="425">
        <v>0</v>
      </c>
      <c r="F129" s="425">
        <v>0</v>
      </c>
      <c r="G129" s="425">
        <v>0</v>
      </c>
      <c r="H129" s="425">
        <v>0</v>
      </c>
      <c r="I129" s="425">
        <v>0</v>
      </c>
      <c r="J129" s="425">
        <v>0</v>
      </c>
      <c r="K129" s="425">
        <f t="shared" ref="K129" si="148">SUM(E129:J129)</f>
        <v>0</v>
      </c>
      <c r="L129" s="508">
        <f t="shared" ref="L129" si="149">D129+K129</f>
        <v>0</v>
      </c>
      <c r="M129" s="526">
        <v>0</v>
      </c>
      <c r="N129" s="425">
        <v>0</v>
      </c>
      <c r="O129" s="425">
        <v>0</v>
      </c>
      <c r="P129" s="425">
        <v>0</v>
      </c>
      <c r="Q129" s="527">
        <v>0</v>
      </c>
      <c r="R129" s="516">
        <f t="shared" ref="R129" si="150">L129-Q129</f>
        <v>0</v>
      </c>
      <c r="S129" s="469" t="e">
        <f t="shared" ref="S129" si="151">Q129/L129</f>
        <v>#DIV/0!</v>
      </c>
    </row>
    <row r="130" spans="1:19" s="7" customFormat="1" x14ac:dyDescent="0.2">
      <c r="A130" s="433"/>
      <c r="B130" s="423"/>
      <c r="C130" s="424"/>
      <c r="D130" s="425"/>
      <c r="E130" s="425"/>
      <c r="F130" s="425"/>
      <c r="G130" s="425"/>
      <c r="H130" s="425"/>
      <c r="I130" s="425"/>
      <c r="J130" s="425"/>
      <c r="K130" s="425"/>
      <c r="L130" s="508"/>
      <c r="M130" s="526"/>
      <c r="N130" s="425"/>
      <c r="O130" s="425"/>
      <c r="P130" s="425"/>
      <c r="Q130" s="527"/>
      <c r="R130" s="516"/>
      <c r="S130" s="469"/>
    </row>
    <row r="131" spans="1:19" s="7" customFormat="1" ht="28.8" x14ac:dyDescent="0.2">
      <c r="A131" s="437">
        <v>1.3</v>
      </c>
      <c r="B131" s="439" t="s">
        <v>424</v>
      </c>
      <c r="C131" s="656" t="s">
        <v>26</v>
      </c>
      <c r="D131" s="440">
        <f>SUM(D132+D134+D137+D140+D142+D144)</f>
        <v>186500000</v>
      </c>
      <c r="E131" s="440">
        <f t="shared" ref="E131:R131" si="152">SUM(E132+E134+E137+E140+E142+E144)</f>
        <v>0</v>
      </c>
      <c r="F131" s="440">
        <f t="shared" si="152"/>
        <v>0</v>
      </c>
      <c r="G131" s="440">
        <f t="shared" si="152"/>
        <v>0</v>
      </c>
      <c r="H131" s="440">
        <f t="shared" si="152"/>
        <v>0</v>
      </c>
      <c r="I131" s="440">
        <f t="shared" si="152"/>
        <v>0</v>
      </c>
      <c r="J131" s="440">
        <f t="shared" si="152"/>
        <v>0</v>
      </c>
      <c r="K131" s="440">
        <f t="shared" si="152"/>
        <v>0</v>
      </c>
      <c r="L131" s="506">
        <f t="shared" si="152"/>
        <v>186500000</v>
      </c>
      <c r="M131" s="522">
        <v>20765174.560000002</v>
      </c>
      <c r="N131" s="440">
        <v>5603759.8599999966</v>
      </c>
      <c r="O131" s="440">
        <v>2641786.3800000027</v>
      </c>
      <c r="P131" s="440">
        <f t="shared" si="152"/>
        <v>4594153.4499999983</v>
      </c>
      <c r="Q131" s="523">
        <f t="shared" si="152"/>
        <v>33604874.25</v>
      </c>
      <c r="R131" s="514">
        <f t="shared" si="152"/>
        <v>151443425.75</v>
      </c>
      <c r="S131" s="467">
        <f t="shared" si="91"/>
        <v>0.18018699329758714</v>
      </c>
    </row>
    <row r="132" spans="1:19" s="7" customFormat="1" ht="28.8" hidden="1" x14ac:dyDescent="0.2">
      <c r="A132" s="432" t="s">
        <v>85</v>
      </c>
      <c r="B132" s="420" t="s">
        <v>425</v>
      </c>
      <c r="C132" s="654" t="s">
        <v>481</v>
      </c>
      <c r="D132" s="422">
        <f t="shared" ref="D132" si="153">SUM(D133)</f>
        <v>0</v>
      </c>
      <c r="E132" s="425">
        <v>0</v>
      </c>
      <c r="F132" s="425">
        <v>0</v>
      </c>
      <c r="G132" s="425">
        <v>0</v>
      </c>
      <c r="H132" s="425">
        <v>0</v>
      </c>
      <c r="I132" s="425">
        <v>0</v>
      </c>
      <c r="J132" s="425">
        <v>0</v>
      </c>
      <c r="K132" s="425">
        <f t="shared" si="134"/>
        <v>0</v>
      </c>
      <c r="L132" s="508">
        <f t="shared" si="135"/>
        <v>0</v>
      </c>
      <c r="M132" s="526">
        <v>0</v>
      </c>
      <c r="N132" s="425">
        <v>0</v>
      </c>
      <c r="O132" s="425">
        <v>0</v>
      </c>
      <c r="P132" s="425">
        <v>0</v>
      </c>
      <c r="Q132" s="527">
        <v>0</v>
      </c>
      <c r="R132" s="516">
        <f t="shared" ref="R132:R136" si="154">L132-Q132</f>
        <v>0</v>
      </c>
      <c r="S132" s="469" t="e">
        <f t="shared" si="91"/>
        <v>#DIV/0!</v>
      </c>
    </row>
    <row r="133" spans="1:19" s="7" customFormat="1" ht="28.8" hidden="1" x14ac:dyDescent="0.2">
      <c r="A133" s="433" t="s">
        <v>85</v>
      </c>
      <c r="B133" s="423" t="s">
        <v>426</v>
      </c>
      <c r="C133" s="424" t="s">
        <v>482</v>
      </c>
      <c r="D133" s="425"/>
      <c r="E133" s="425">
        <v>0</v>
      </c>
      <c r="F133" s="425">
        <v>0</v>
      </c>
      <c r="G133" s="425">
        <v>0</v>
      </c>
      <c r="H133" s="425">
        <v>0</v>
      </c>
      <c r="I133" s="425">
        <v>0</v>
      </c>
      <c r="J133" s="425">
        <v>0</v>
      </c>
      <c r="K133" s="425">
        <f t="shared" si="134"/>
        <v>0</v>
      </c>
      <c r="L133" s="508">
        <f t="shared" si="135"/>
        <v>0</v>
      </c>
      <c r="M133" s="526">
        <v>0</v>
      </c>
      <c r="N133" s="425">
        <v>0</v>
      </c>
      <c r="O133" s="425">
        <v>0</v>
      </c>
      <c r="P133" s="425">
        <v>0</v>
      </c>
      <c r="Q133" s="527">
        <v>0</v>
      </c>
      <c r="R133" s="516">
        <f t="shared" si="154"/>
        <v>0</v>
      </c>
      <c r="S133" s="469" t="e">
        <f t="shared" si="91"/>
        <v>#DIV/0!</v>
      </c>
    </row>
    <row r="134" spans="1:19" s="7" customFormat="1" ht="28.8" x14ac:dyDescent="0.2">
      <c r="A134" s="432" t="s">
        <v>14</v>
      </c>
      <c r="B134" s="420" t="s">
        <v>427</v>
      </c>
      <c r="C134" s="654" t="s">
        <v>428</v>
      </c>
      <c r="D134" s="422">
        <f t="shared" ref="D134" si="155">SUM(D135:D136)</f>
        <v>1500000</v>
      </c>
      <c r="E134" s="425">
        <v>0</v>
      </c>
      <c r="F134" s="425">
        <v>0</v>
      </c>
      <c r="G134" s="425">
        <v>0</v>
      </c>
      <c r="H134" s="425">
        <v>0</v>
      </c>
      <c r="I134" s="425">
        <v>0</v>
      </c>
      <c r="J134" s="425">
        <v>0</v>
      </c>
      <c r="K134" s="580">
        <f t="shared" si="134"/>
        <v>0</v>
      </c>
      <c r="L134" s="507">
        <f t="shared" ref="L134" si="156">SUM(L135:L136)</f>
        <v>1500000</v>
      </c>
      <c r="M134" s="581">
        <v>24150</v>
      </c>
      <c r="N134" s="422">
        <v>0</v>
      </c>
      <c r="O134" s="422">
        <v>0</v>
      </c>
      <c r="P134" s="422">
        <f t="shared" ref="P134:Q134" si="157">SUM(P135:P136)</f>
        <v>0</v>
      </c>
      <c r="Q134" s="525">
        <f t="shared" si="157"/>
        <v>24150</v>
      </c>
      <c r="R134" s="660">
        <f t="shared" ref="R134" si="158">J134+Q134</f>
        <v>24150</v>
      </c>
      <c r="S134" s="468">
        <f t="shared" si="91"/>
        <v>1.61E-2</v>
      </c>
    </row>
    <row r="135" spans="1:19" s="7" customFormat="1" hidden="1" x14ac:dyDescent="0.2">
      <c r="A135" s="433" t="s">
        <v>14</v>
      </c>
      <c r="B135" s="423" t="s">
        <v>429</v>
      </c>
      <c r="C135" s="424" t="s">
        <v>114</v>
      </c>
      <c r="D135" s="425"/>
      <c r="E135" s="425">
        <v>0</v>
      </c>
      <c r="F135" s="425">
        <v>0</v>
      </c>
      <c r="G135" s="425">
        <v>0</v>
      </c>
      <c r="H135" s="425">
        <v>0</v>
      </c>
      <c r="I135" s="425">
        <v>0</v>
      </c>
      <c r="J135" s="425">
        <v>0</v>
      </c>
      <c r="K135" s="425">
        <f t="shared" si="134"/>
        <v>0</v>
      </c>
      <c r="L135" s="508">
        <f t="shared" si="135"/>
        <v>0</v>
      </c>
      <c r="M135" s="526">
        <v>0</v>
      </c>
      <c r="N135" s="425">
        <v>0</v>
      </c>
      <c r="O135" s="425">
        <v>0</v>
      </c>
      <c r="P135" s="425">
        <v>0</v>
      </c>
      <c r="Q135" s="527">
        <v>0</v>
      </c>
      <c r="R135" s="516">
        <f t="shared" si="154"/>
        <v>0</v>
      </c>
      <c r="S135" s="469" t="e">
        <f t="shared" si="91"/>
        <v>#DIV/0!</v>
      </c>
    </row>
    <row r="136" spans="1:19" s="7" customFormat="1" ht="28.8" x14ac:dyDescent="0.2">
      <c r="A136" s="433" t="s">
        <v>14</v>
      </c>
      <c r="B136" s="423" t="s">
        <v>430</v>
      </c>
      <c r="C136" s="424" t="s">
        <v>115</v>
      </c>
      <c r="D136" s="425">
        <v>1500000</v>
      </c>
      <c r="E136" s="425">
        <v>0</v>
      </c>
      <c r="F136" s="425">
        <v>0</v>
      </c>
      <c r="G136" s="425">
        <v>0</v>
      </c>
      <c r="H136" s="425">
        <v>0</v>
      </c>
      <c r="I136" s="425">
        <v>0</v>
      </c>
      <c r="J136" s="425">
        <v>0</v>
      </c>
      <c r="K136" s="425">
        <f t="shared" si="134"/>
        <v>0</v>
      </c>
      <c r="L136" s="508">
        <f t="shared" si="135"/>
        <v>1500000</v>
      </c>
      <c r="M136" s="526">
        <v>24150</v>
      </c>
      <c r="N136" s="425">
        <v>0</v>
      </c>
      <c r="O136" s="425">
        <v>0</v>
      </c>
      <c r="P136" s="425">
        <f>Q136-M136-N136-O136</f>
        <v>0</v>
      </c>
      <c r="Q136" s="527">
        <v>24150</v>
      </c>
      <c r="R136" s="516">
        <f t="shared" si="154"/>
        <v>1475850</v>
      </c>
      <c r="S136" s="469">
        <f t="shared" si="91"/>
        <v>1.61E-2</v>
      </c>
    </row>
    <row r="137" spans="1:19" s="7" customFormat="1" x14ac:dyDescent="0.2">
      <c r="A137" s="436" t="s">
        <v>14</v>
      </c>
      <c r="B137" s="420" t="s">
        <v>431</v>
      </c>
      <c r="C137" s="654" t="s">
        <v>432</v>
      </c>
      <c r="D137" s="422">
        <f t="shared" ref="D137" si="159">SUM(D138:D139)</f>
        <v>185000000</v>
      </c>
      <c r="E137" s="422">
        <f t="shared" ref="E137:R137" si="160">SUM(E138:E139)</f>
        <v>0</v>
      </c>
      <c r="F137" s="422">
        <f t="shared" si="160"/>
        <v>0</v>
      </c>
      <c r="G137" s="422">
        <f t="shared" si="160"/>
        <v>0</v>
      </c>
      <c r="H137" s="422">
        <f t="shared" si="160"/>
        <v>0</v>
      </c>
      <c r="I137" s="422">
        <f t="shared" ref="I137" si="161">SUM(I138:I139)</f>
        <v>0</v>
      </c>
      <c r="J137" s="422">
        <f t="shared" si="160"/>
        <v>0</v>
      </c>
      <c r="K137" s="422">
        <f t="shared" si="160"/>
        <v>0</v>
      </c>
      <c r="L137" s="507">
        <f t="shared" si="160"/>
        <v>185000000</v>
      </c>
      <c r="M137" s="524">
        <v>20741024.560000002</v>
      </c>
      <c r="N137" s="422">
        <v>5603759.8599999966</v>
      </c>
      <c r="O137" s="422">
        <v>2641786.3800000027</v>
      </c>
      <c r="P137" s="422">
        <f t="shared" si="160"/>
        <v>4594153.4499999983</v>
      </c>
      <c r="Q137" s="525">
        <f t="shared" si="160"/>
        <v>33580724.25</v>
      </c>
      <c r="R137" s="515">
        <f t="shared" si="160"/>
        <v>151419275.75</v>
      </c>
      <c r="S137" s="469">
        <f>Q137/L137</f>
        <v>0.18151742837837836</v>
      </c>
    </row>
    <row r="138" spans="1:19" s="7" customFormat="1" x14ac:dyDescent="0.2">
      <c r="A138" s="433" t="s">
        <v>14</v>
      </c>
      <c r="B138" s="423" t="s">
        <v>433</v>
      </c>
      <c r="C138" s="424" t="s">
        <v>116</v>
      </c>
      <c r="D138" s="425">
        <v>110000000</v>
      </c>
      <c r="E138" s="425">
        <v>0</v>
      </c>
      <c r="F138" s="425">
        <v>0</v>
      </c>
      <c r="G138" s="425">
        <v>0</v>
      </c>
      <c r="H138" s="425">
        <v>0</v>
      </c>
      <c r="I138" s="425">
        <v>0</v>
      </c>
      <c r="J138" s="425">
        <v>0</v>
      </c>
      <c r="K138" s="425">
        <f t="shared" si="134"/>
        <v>0</v>
      </c>
      <c r="L138" s="508">
        <f t="shared" si="135"/>
        <v>110000000</v>
      </c>
      <c r="M138" s="526">
        <v>3799691.8</v>
      </c>
      <c r="N138" s="425">
        <v>2615003.38</v>
      </c>
      <c r="O138" s="425">
        <v>0</v>
      </c>
      <c r="P138" s="425">
        <f t="shared" ref="P138:P139" si="162">Q138-M138-N138-O138</f>
        <v>1858960.5300000003</v>
      </c>
      <c r="Q138" s="527">
        <v>8273655.71</v>
      </c>
      <c r="R138" s="516">
        <f t="shared" ref="R138:R139" si="163">L138-Q138</f>
        <v>101726344.29000001</v>
      </c>
      <c r="S138" s="469">
        <f t="shared" si="91"/>
        <v>7.5215051909090905E-2</v>
      </c>
    </row>
    <row r="139" spans="1:19" s="7" customFormat="1" x14ac:dyDescent="0.2">
      <c r="A139" s="433" t="s">
        <v>14</v>
      </c>
      <c r="B139" s="423" t="s">
        <v>434</v>
      </c>
      <c r="C139" s="424" t="s">
        <v>117</v>
      </c>
      <c r="D139" s="425">
        <v>75000000</v>
      </c>
      <c r="E139" s="425">
        <v>0</v>
      </c>
      <c r="F139" s="425">
        <v>0</v>
      </c>
      <c r="G139" s="425">
        <v>0</v>
      </c>
      <c r="H139" s="425">
        <v>0</v>
      </c>
      <c r="I139" s="425">
        <v>0</v>
      </c>
      <c r="J139" s="425">
        <v>0</v>
      </c>
      <c r="K139" s="425">
        <f t="shared" si="134"/>
        <v>0</v>
      </c>
      <c r="L139" s="508">
        <f t="shared" si="135"/>
        <v>75000000</v>
      </c>
      <c r="M139" s="526">
        <v>16941332.760000002</v>
      </c>
      <c r="N139" s="425">
        <v>2988756.4799999967</v>
      </c>
      <c r="O139" s="425">
        <v>2641786.3800000027</v>
      </c>
      <c r="P139" s="425">
        <f t="shared" si="162"/>
        <v>2735192.9199999981</v>
      </c>
      <c r="Q139" s="527">
        <v>25307068.539999999</v>
      </c>
      <c r="R139" s="516">
        <f t="shared" si="163"/>
        <v>49692931.460000001</v>
      </c>
      <c r="S139" s="469">
        <f t="shared" si="91"/>
        <v>0.33742758053333333</v>
      </c>
    </row>
    <row r="140" spans="1:19" s="8" customFormat="1" ht="28.8" hidden="1" x14ac:dyDescent="0.2">
      <c r="A140" s="436" t="s">
        <v>14</v>
      </c>
      <c r="B140" s="420" t="s">
        <v>457</v>
      </c>
      <c r="C140" s="657" t="s">
        <v>458</v>
      </c>
      <c r="D140" s="580">
        <f>+D141</f>
        <v>0</v>
      </c>
      <c r="E140" s="580">
        <f t="shared" ref="E140:R140" si="164">+E141</f>
        <v>0</v>
      </c>
      <c r="F140" s="580">
        <f t="shared" si="164"/>
        <v>0</v>
      </c>
      <c r="G140" s="580">
        <f t="shared" si="164"/>
        <v>0</v>
      </c>
      <c r="H140" s="580">
        <f t="shared" si="164"/>
        <v>0</v>
      </c>
      <c r="I140" s="580">
        <f t="shared" si="164"/>
        <v>0</v>
      </c>
      <c r="J140" s="580">
        <f t="shared" si="164"/>
        <v>0</v>
      </c>
      <c r="K140" s="580">
        <f t="shared" si="164"/>
        <v>0</v>
      </c>
      <c r="L140" s="573">
        <f t="shared" si="164"/>
        <v>0</v>
      </c>
      <c r="M140" s="581">
        <v>0</v>
      </c>
      <c r="N140" s="580">
        <v>0</v>
      </c>
      <c r="O140" s="580">
        <v>0</v>
      </c>
      <c r="P140" s="580">
        <f t="shared" si="164"/>
        <v>0</v>
      </c>
      <c r="Q140" s="582">
        <f t="shared" si="164"/>
        <v>0</v>
      </c>
      <c r="R140" s="553">
        <f t="shared" si="164"/>
        <v>0</v>
      </c>
      <c r="S140" s="468" t="e">
        <f t="shared" si="91"/>
        <v>#DIV/0!</v>
      </c>
    </row>
    <row r="141" spans="1:19" s="7" customFormat="1" ht="28.8" hidden="1" x14ac:dyDescent="0.2">
      <c r="A141" s="433" t="s">
        <v>14</v>
      </c>
      <c r="B141" s="423" t="s">
        <v>459</v>
      </c>
      <c r="C141" s="424" t="s">
        <v>460</v>
      </c>
      <c r="D141" s="425"/>
      <c r="E141" s="425">
        <v>0</v>
      </c>
      <c r="F141" s="425">
        <v>0</v>
      </c>
      <c r="G141" s="425"/>
      <c r="H141" s="425"/>
      <c r="I141" s="425"/>
      <c r="J141" s="425"/>
      <c r="K141" s="425">
        <f t="shared" ref="K141" si="165">SUM(E141:J141)</f>
        <v>0</v>
      </c>
      <c r="L141" s="508">
        <f t="shared" ref="L141" si="166">D141+K141</f>
        <v>0</v>
      </c>
      <c r="M141" s="526">
        <v>0</v>
      </c>
      <c r="N141" s="425">
        <v>0</v>
      </c>
      <c r="O141" s="425">
        <v>0</v>
      </c>
      <c r="P141" s="425">
        <f>Q141-M141-N141-O141</f>
        <v>0</v>
      </c>
      <c r="Q141" s="527">
        <v>0</v>
      </c>
      <c r="R141" s="516"/>
      <c r="S141" s="469" t="e">
        <f t="shared" si="91"/>
        <v>#DIV/0!</v>
      </c>
    </row>
    <row r="142" spans="1:19" s="7" customFormat="1" ht="28.8" hidden="1" x14ac:dyDescent="0.2">
      <c r="A142" s="436" t="s">
        <v>14</v>
      </c>
      <c r="B142" s="420" t="s">
        <v>435</v>
      </c>
      <c r="C142" s="654" t="s">
        <v>484</v>
      </c>
      <c r="D142" s="422">
        <f t="shared" ref="D142:R142" si="167">SUM(D143)</f>
        <v>0</v>
      </c>
      <c r="E142" s="422">
        <f t="shared" si="167"/>
        <v>0</v>
      </c>
      <c r="F142" s="422">
        <f t="shared" si="167"/>
        <v>0</v>
      </c>
      <c r="G142" s="422">
        <f t="shared" si="167"/>
        <v>0</v>
      </c>
      <c r="H142" s="422">
        <f t="shared" si="167"/>
        <v>0</v>
      </c>
      <c r="I142" s="422">
        <f t="shared" si="167"/>
        <v>0</v>
      </c>
      <c r="J142" s="422">
        <f t="shared" si="167"/>
        <v>0</v>
      </c>
      <c r="K142" s="422">
        <f t="shared" si="167"/>
        <v>0</v>
      </c>
      <c r="L142" s="507">
        <f t="shared" si="167"/>
        <v>0</v>
      </c>
      <c r="M142" s="524">
        <v>0</v>
      </c>
      <c r="N142" s="422">
        <v>0</v>
      </c>
      <c r="O142" s="422">
        <v>0</v>
      </c>
      <c r="P142" s="422">
        <f t="shared" si="167"/>
        <v>0</v>
      </c>
      <c r="Q142" s="525">
        <f t="shared" si="167"/>
        <v>0</v>
      </c>
      <c r="R142" s="515">
        <f t="shared" si="167"/>
        <v>0</v>
      </c>
      <c r="S142" s="469" t="e">
        <f t="shared" si="91"/>
        <v>#DIV/0!</v>
      </c>
    </row>
    <row r="143" spans="1:19" s="7" customFormat="1" hidden="1" x14ac:dyDescent="0.2">
      <c r="A143" s="433" t="s">
        <v>14</v>
      </c>
      <c r="B143" s="423" t="s">
        <v>436</v>
      </c>
      <c r="C143" s="424" t="s">
        <v>118</v>
      </c>
      <c r="D143" s="425">
        <v>0</v>
      </c>
      <c r="E143" s="425">
        <v>0</v>
      </c>
      <c r="F143" s="425">
        <v>0</v>
      </c>
      <c r="G143" s="425">
        <v>0</v>
      </c>
      <c r="H143" s="425">
        <v>0</v>
      </c>
      <c r="I143" s="425">
        <v>0</v>
      </c>
      <c r="J143" s="425">
        <v>0</v>
      </c>
      <c r="K143" s="425">
        <f t="shared" ref="K143" si="168">SUM(E143:J143)</f>
        <v>0</v>
      </c>
      <c r="L143" s="508">
        <f t="shared" si="135"/>
        <v>0</v>
      </c>
      <c r="M143" s="526">
        <v>0</v>
      </c>
      <c r="N143" s="425">
        <v>0</v>
      </c>
      <c r="O143" s="425">
        <v>0</v>
      </c>
      <c r="P143" s="425">
        <v>0</v>
      </c>
      <c r="Q143" s="527">
        <v>0</v>
      </c>
      <c r="R143" s="516">
        <f>L143-Q143</f>
        <v>0</v>
      </c>
      <c r="S143" s="469" t="e">
        <f t="shared" ref="S143" si="169">Q143/L143</f>
        <v>#DIV/0!</v>
      </c>
    </row>
    <row r="144" spans="1:19" s="7" customFormat="1" ht="28.8" hidden="1" x14ac:dyDescent="0.2">
      <c r="A144" s="436" t="s">
        <v>14</v>
      </c>
      <c r="B144" s="420" t="s">
        <v>437</v>
      </c>
      <c r="C144" s="654" t="s">
        <v>485</v>
      </c>
      <c r="D144" s="422">
        <f t="shared" ref="D144:R144" si="170">SUM(D145)</f>
        <v>0</v>
      </c>
      <c r="E144" s="422">
        <f t="shared" si="170"/>
        <v>0</v>
      </c>
      <c r="F144" s="422">
        <f t="shared" si="170"/>
        <v>0</v>
      </c>
      <c r="G144" s="422">
        <f t="shared" si="170"/>
        <v>0</v>
      </c>
      <c r="H144" s="422">
        <f t="shared" si="170"/>
        <v>0</v>
      </c>
      <c r="I144" s="422">
        <f t="shared" si="170"/>
        <v>0</v>
      </c>
      <c r="J144" s="422">
        <f t="shared" si="170"/>
        <v>0</v>
      </c>
      <c r="K144" s="422">
        <f t="shared" si="170"/>
        <v>0</v>
      </c>
      <c r="L144" s="507">
        <f t="shared" si="170"/>
        <v>0</v>
      </c>
      <c r="M144" s="524">
        <v>0</v>
      </c>
      <c r="N144" s="422">
        <v>0</v>
      </c>
      <c r="O144" s="422">
        <v>0</v>
      </c>
      <c r="P144" s="422">
        <f t="shared" si="170"/>
        <v>0</v>
      </c>
      <c r="Q144" s="525">
        <f t="shared" si="170"/>
        <v>0</v>
      </c>
      <c r="R144" s="515">
        <f t="shared" si="170"/>
        <v>0</v>
      </c>
      <c r="S144" s="468" t="e">
        <f t="shared" ref="S144:S155" si="171">Q144/L144</f>
        <v>#DIV/0!</v>
      </c>
    </row>
    <row r="145" spans="1:19" s="7" customFormat="1" ht="28.8" hidden="1" x14ac:dyDescent="0.2">
      <c r="A145" s="433" t="s">
        <v>14</v>
      </c>
      <c r="B145" s="423" t="s">
        <v>438</v>
      </c>
      <c r="C145" s="424" t="s">
        <v>498</v>
      </c>
      <c r="D145" s="425">
        <v>0</v>
      </c>
      <c r="E145" s="425">
        <v>0</v>
      </c>
      <c r="F145" s="425">
        <v>0</v>
      </c>
      <c r="G145" s="425">
        <v>0</v>
      </c>
      <c r="H145" s="425">
        <v>0</v>
      </c>
      <c r="I145" s="425">
        <v>0</v>
      </c>
      <c r="J145" s="425">
        <v>0</v>
      </c>
      <c r="K145" s="425">
        <f t="shared" ref="K145" si="172">SUM(E145:J145)</f>
        <v>0</v>
      </c>
      <c r="L145" s="508">
        <f t="shared" si="135"/>
        <v>0</v>
      </c>
      <c r="M145" s="526">
        <v>0</v>
      </c>
      <c r="N145" s="425">
        <v>0</v>
      </c>
      <c r="O145" s="425">
        <v>0</v>
      </c>
      <c r="P145" s="425">
        <v>0</v>
      </c>
      <c r="Q145" s="527">
        <v>0</v>
      </c>
      <c r="R145" s="516">
        <f>L145-Q145</f>
        <v>0</v>
      </c>
      <c r="S145" s="469" t="e">
        <f t="shared" si="171"/>
        <v>#DIV/0!</v>
      </c>
    </row>
    <row r="146" spans="1:19" s="7" customFormat="1" hidden="1" x14ac:dyDescent="0.2">
      <c r="A146" s="432"/>
      <c r="B146" s="423"/>
      <c r="C146" s="424"/>
      <c r="D146" s="425"/>
      <c r="E146" s="425"/>
      <c r="F146" s="425"/>
      <c r="G146" s="425"/>
      <c r="H146" s="425"/>
      <c r="I146" s="425"/>
      <c r="J146" s="425"/>
      <c r="K146" s="425"/>
      <c r="L146" s="508"/>
      <c r="M146" s="526"/>
      <c r="N146" s="425"/>
      <c r="O146" s="425"/>
      <c r="P146" s="425"/>
      <c r="Q146" s="527"/>
      <c r="R146" s="516"/>
      <c r="S146" s="469"/>
    </row>
    <row r="147" spans="1:19" s="210" customFormat="1" ht="28.8" hidden="1" x14ac:dyDescent="0.3">
      <c r="A147" s="437">
        <v>2.2999999999999998</v>
      </c>
      <c r="B147" s="444" t="s">
        <v>439</v>
      </c>
      <c r="C147" s="656" t="s">
        <v>440</v>
      </c>
      <c r="D147" s="440">
        <f t="shared" ref="D147:R147" si="173">+D148</f>
        <v>0</v>
      </c>
      <c r="E147" s="440">
        <f t="shared" si="173"/>
        <v>0</v>
      </c>
      <c r="F147" s="440">
        <f t="shared" si="173"/>
        <v>0</v>
      </c>
      <c r="G147" s="440">
        <f t="shared" si="173"/>
        <v>0</v>
      </c>
      <c r="H147" s="440">
        <f t="shared" si="173"/>
        <v>0</v>
      </c>
      <c r="I147" s="440">
        <f t="shared" si="173"/>
        <v>0</v>
      </c>
      <c r="J147" s="440">
        <f t="shared" si="173"/>
        <v>0</v>
      </c>
      <c r="K147" s="440">
        <f t="shared" si="173"/>
        <v>0</v>
      </c>
      <c r="L147" s="506">
        <f t="shared" si="173"/>
        <v>0</v>
      </c>
      <c r="M147" s="522">
        <v>0</v>
      </c>
      <c r="N147" s="440">
        <v>0</v>
      </c>
      <c r="O147" s="440">
        <v>0</v>
      </c>
      <c r="P147" s="440">
        <f t="shared" si="173"/>
        <v>0</v>
      </c>
      <c r="Q147" s="523">
        <f t="shared" si="173"/>
        <v>0</v>
      </c>
      <c r="R147" s="514">
        <f t="shared" si="173"/>
        <v>0</v>
      </c>
      <c r="S147" s="467" t="e">
        <f t="shared" si="171"/>
        <v>#DIV/0!</v>
      </c>
    </row>
    <row r="148" spans="1:19" s="7" customFormat="1" ht="28.8" hidden="1" x14ac:dyDescent="0.3">
      <c r="A148" s="432" t="s">
        <v>119</v>
      </c>
      <c r="B148" s="427" t="s">
        <v>441</v>
      </c>
      <c r="C148" s="654" t="s">
        <v>442</v>
      </c>
      <c r="D148" s="422">
        <f t="shared" ref="D148:R148" si="174">SUM(D149)</f>
        <v>0</v>
      </c>
      <c r="E148" s="422">
        <f t="shared" si="174"/>
        <v>0</v>
      </c>
      <c r="F148" s="422">
        <f t="shared" si="174"/>
        <v>0</v>
      </c>
      <c r="G148" s="422">
        <f t="shared" si="174"/>
        <v>0</v>
      </c>
      <c r="H148" s="422">
        <f t="shared" si="174"/>
        <v>0</v>
      </c>
      <c r="I148" s="422">
        <f t="shared" si="174"/>
        <v>0</v>
      </c>
      <c r="J148" s="422">
        <f t="shared" si="174"/>
        <v>0</v>
      </c>
      <c r="K148" s="422">
        <f t="shared" si="174"/>
        <v>0</v>
      </c>
      <c r="L148" s="507">
        <f t="shared" si="174"/>
        <v>0</v>
      </c>
      <c r="M148" s="524">
        <v>0</v>
      </c>
      <c r="N148" s="422">
        <v>0</v>
      </c>
      <c r="O148" s="422">
        <v>0</v>
      </c>
      <c r="P148" s="422">
        <f t="shared" si="174"/>
        <v>0</v>
      </c>
      <c r="Q148" s="525">
        <f t="shared" si="174"/>
        <v>0</v>
      </c>
      <c r="R148" s="515">
        <f t="shared" si="174"/>
        <v>0</v>
      </c>
      <c r="S148" s="468" t="e">
        <f t="shared" si="171"/>
        <v>#DIV/0!</v>
      </c>
    </row>
    <row r="149" spans="1:19" s="7" customFormat="1" ht="28.8" hidden="1" x14ac:dyDescent="0.2">
      <c r="A149" s="433" t="s">
        <v>119</v>
      </c>
      <c r="B149" s="423" t="s">
        <v>443</v>
      </c>
      <c r="C149" s="424" t="s">
        <v>120</v>
      </c>
      <c r="D149" s="425">
        <v>0</v>
      </c>
      <c r="E149" s="425">
        <v>0</v>
      </c>
      <c r="F149" s="425">
        <v>0</v>
      </c>
      <c r="G149" s="425">
        <v>0</v>
      </c>
      <c r="H149" s="425">
        <v>0</v>
      </c>
      <c r="I149" s="425">
        <v>0</v>
      </c>
      <c r="J149" s="425">
        <v>0</v>
      </c>
      <c r="K149" s="425">
        <f t="shared" ref="K149" si="175">SUM(E149:J149)</f>
        <v>0</v>
      </c>
      <c r="L149" s="508">
        <f t="shared" ref="L149" si="176">D149+K149</f>
        <v>0</v>
      </c>
      <c r="M149" s="526">
        <v>0</v>
      </c>
      <c r="N149" s="425">
        <v>0</v>
      </c>
      <c r="O149" s="425">
        <v>0</v>
      </c>
      <c r="P149" s="425">
        <v>0</v>
      </c>
      <c r="Q149" s="527">
        <v>0</v>
      </c>
      <c r="R149" s="516">
        <f>L149-Q149</f>
        <v>0</v>
      </c>
      <c r="S149" s="469" t="e">
        <f t="shared" si="171"/>
        <v>#DIV/0!</v>
      </c>
    </row>
    <row r="150" spans="1:19" s="7" customFormat="1" hidden="1" x14ac:dyDescent="0.2">
      <c r="A150" s="432"/>
      <c r="B150" s="430"/>
      <c r="C150" s="654"/>
      <c r="D150" s="422"/>
      <c r="E150" s="422"/>
      <c r="F150" s="422"/>
      <c r="G150" s="422"/>
      <c r="H150" s="422"/>
      <c r="I150" s="422"/>
      <c r="J150" s="422"/>
      <c r="K150" s="422"/>
      <c r="L150" s="507"/>
      <c r="M150" s="524"/>
      <c r="N150" s="422"/>
      <c r="O150" s="422"/>
      <c r="P150" s="422"/>
      <c r="Q150" s="525"/>
      <c r="R150" s="515"/>
      <c r="S150" s="469" t="e">
        <f t="shared" si="171"/>
        <v>#DIV/0!</v>
      </c>
    </row>
    <row r="151" spans="1:19" s="7" customFormat="1" hidden="1" x14ac:dyDescent="0.2">
      <c r="A151" s="437">
        <v>4</v>
      </c>
      <c r="B151" s="439" t="s">
        <v>444</v>
      </c>
      <c r="C151" s="656" t="s">
        <v>121</v>
      </c>
      <c r="D151" s="440">
        <f t="shared" ref="D151:R151" si="177">+D152</f>
        <v>0</v>
      </c>
      <c r="E151" s="440">
        <f t="shared" si="177"/>
        <v>0</v>
      </c>
      <c r="F151" s="440">
        <f t="shared" si="177"/>
        <v>0</v>
      </c>
      <c r="G151" s="440">
        <f t="shared" si="177"/>
        <v>0</v>
      </c>
      <c r="H151" s="440">
        <f t="shared" si="177"/>
        <v>0</v>
      </c>
      <c r="I151" s="440">
        <f t="shared" si="177"/>
        <v>0</v>
      </c>
      <c r="J151" s="440">
        <f t="shared" si="177"/>
        <v>0</v>
      </c>
      <c r="K151" s="440">
        <f t="shared" si="177"/>
        <v>0</v>
      </c>
      <c r="L151" s="506">
        <f t="shared" si="177"/>
        <v>0</v>
      </c>
      <c r="M151" s="522">
        <v>0</v>
      </c>
      <c r="N151" s="440">
        <v>0</v>
      </c>
      <c r="O151" s="440">
        <v>0</v>
      </c>
      <c r="P151" s="440">
        <f t="shared" si="177"/>
        <v>0</v>
      </c>
      <c r="Q151" s="523">
        <f t="shared" si="177"/>
        <v>0</v>
      </c>
      <c r="R151" s="514">
        <f t="shared" si="177"/>
        <v>0</v>
      </c>
      <c r="S151" s="467" t="e">
        <f t="shared" si="171"/>
        <v>#DIV/0!</v>
      </c>
    </row>
    <row r="152" spans="1:19" s="7" customFormat="1" ht="28.8" hidden="1" x14ac:dyDescent="0.2">
      <c r="A152" s="449" t="s">
        <v>449</v>
      </c>
      <c r="B152" s="420" t="s">
        <v>441</v>
      </c>
      <c r="C152" s="654" t="s">
        <v>445</v>
      </c>
      <c r="D152" s="422">
        <f t="shared" ref="D152:R152" si="178">SUM(D153:D153)</f>
        <v>0</v>
      </c>
      <c r="E152" s="422">
        <f t="shared" si="178"/>
        <v>0</v>
      </c>
      <c r="F152" s="422">
        <f t="shared" si="178"/>
        <v>0</v>
      </c>
      <c r="G152" s="422">
        <f t="shared" si="178"/>
        <v>0</v>
      </c>
      <c r="H152" s="422">
        <f t="shared" si="178"/>
        <v>0</v>
      </c>
      <c r="I152" s="422">
        <f t="shared" si="178"/>
        <v>0</v>
      </c>
      <c r="J152" s="422">
        <f t="shared" si="178"/>
        <v>0</v>
      </c>
      <c r="K152" s="422">
        <f t="shared" si="178"/>
        <v>0</v>
      </c>
      <c r="L152" s="507">
        <f t="shared" si="178"/>
        <v>0</v>
      </c>
      <c r="M152" s="524">
        <v>0</v>
      </c>
      <c r="N152" s="422">
        <v>0</v>
      </c>
      <c r="O152" s="422">
        <v>0</v>
      </c>
      <c r="P152" s="422">
        <f t="shared" si="178"/>
        <v>0</v>
      </c>
      <c r="Q152" s="525">
        <f t="shared" si="178"/>
        <v>0</v>
      </c>
      <c r="R152" s="515">
        <f t="shared" si="178"/>
        <v>0</v>
      </c>
      <c r="S152" s="468" t="e">
        <f t="shared" si="171"/>
        <v>#DIV/0!</v>
      </c>
    </row>
    <row r="153" spans="1:19" s="7" customFormat="1" ht="28.8" hidden="1" x14ac:dyDescent="0.2">
      <c r="A153" s="434"/>
      <c r="B153" s="423" t="s">
        <v>446</v>
      </c>
      <c r="C153" s="424" t="s">
        <v>447</v>
      </c>
      <c r="D153" s="463">
        <v>0</v>
      </c>
      <c r="E153" s="425">
        <v>0</v>
      </c>
      <c r="F153" s="425">
        <v>0</v>
      </c>
      <c r="G153" s="425">
        <v>0</v>
      </c>
      <c r="H153" s="425">
        <v>0</v>
      </c>
      <c r="I153" s="425">
        <v>0</v>
      </c>
      <c r="J153" s="425">
        <v>0</v>
      </c>
      <c r="K153" s="425">
        <f>SUM(E153:J153)</f>
        <v>0</v>
      </c>
      <c r="L153" s="508">
        <f>D153+K153</f>
        <v>0</v>
      </c>
      <c r="M153" s="526">
        <v>0</v>
      </c>
      <c r="N153" s="425">
        <v>0</v>
      </c>
      <c r="O153" s="425">
        <v>0</v>
      </c>
      <c r="P153" s="425">
        <v>0</v>
      </c>
      <c r="Q153" s="527">
        <v>0</v>
      </c>
      <c r="R153" s="516">
        <f>L153-Q153</f>
        <v>0</v>
      </c>
      <c r="S153" s="469" t="e">
        <f t="shared" si="171"/>
        <v>#DIV/0!</v>
      </c>
    </row>
    <row r="154" spans="1:19" s="7" customFormat="1" x14ac:dyDescent="0.2">
      <c r="A154" s="455"/>
      <c r="B154" s="456"/>
      <c r="C154" s="658"/>
      <c r="D154" s="458"/>
      <c r="E154" s="458"/>
      <c r="F154" s="458"/>
      <c r="G154" s="458"/>
      <c r="H154" s="458"/>
      <c r="I154" s="458"/>
      <c r="J154" s="458"/>
      <c r="K154" s="458"/>
      <c r="L154" s="512"/>
      <c r="M154" s="532"/>
      <c r="N154" s="458"/>
      <c r="O154" s="458"/>
      <c r="P154" s="458"/>
      <c r="Q154" s="533"/>
      <c r="R154" s="520"/>
      <c r="S154" s="470"/>
    </row>
    <row r="155" spans="1:19" s="7" customFormat="1" ht="15" thickBot="1" x14ac:dyDescent="0.25">
      <c r="A155" s="459"/>
      <c r="B155" s="460" t="s">
        <v>130</v>
      </c>
      <c r="C155" s="659"/>
      <c r="D155" s="462">
        <f t="shared" ref="D155" si="179">SUM(D151+D147+D131+D117+D89+D41+D13)</f>
        <v>5274705338.3000002</v>
      </c>
      <c r="E155" s="462">
        <f t="shared" ref="E155:R155" si="180">SUM(E151+E147+E131+E117+E89+E41+E13)</f>
        <v>0</v>
      </c>
      <c r="F155" s="462">
        <f t="shared" si="180"/>
        <v>-25847000</v>
      </c>
      <c r="G155" s="462">
        <f t="shared" si="180"/>
        <v>0</v>
      </c>
      <c r="H155" s="462">
        <f t="shared" si="180"/>
        <v>0</v>
      </c>
      <c r="I155" s="462">
        <f t="shared" ref="I155" si="181">SUM(I151+I147+I131+I117+I89+I41+I13)</f>
        <v>0</v>
      </c>
      <c r="J155" s="462">
        <f t="shared" si="180"/>
        <v>0</v>
      </c>
      <c r="K155" s="462">
        <f t="shared" si="180"/>
        <v>-25847000</v>
      </c>
      <c r="L155" s="513">
        <f t="shared" si="180"/>
        <v>5248858338.3000002</v>
      </c>
      <c r="M155" s="534">
        <f t="shared" si="180"/>
        <v>980542962.04999995</v>
      </c>
      <c r="N155" s="462">
        <f t="shared" si="180"/>
        <v>296642123.10000002</v>
      </c>
      <c r="O155" s="462">
        <f t="shared" si="180"/>
        <v>293368985.09000009</v>
      </c>
      <c r="P155" s="462">
        <f t="shared" si="180"/>
        <v>293982152.14999992</v>
      </c>
      <c r="Q155" s="653">
        <f t="shared" si="180"/>
        <v>1864536222.3899999</v>
      </c>
      <c r="R155" s="521">
        <f t="shared" si="180"/>
        <v>3382870415.9100003</v>
      </c>
      <c r="S155" s="464">
        <f t="shared" si="171"/>
        <v>0.35522700408673741</v>
      </c>
    </row>
    <row r="156" spans="1:19" s="7" customFormat="1" ht="15" thickTop="1" x14ac:dyDescent="0.2">
      <c r="A156" s="316"/>
      <c r="B156" s="48"/>
      <c r="C156" s="49"/>
      <c r="D156" s="21"/>
      <c r="E156" s="382"/>
      <c r="F156" s="382"/>
      <c r="G156" s="382"/>
      <c r="H156" s="382"/>
      <c r="I156" s="382"/>
      <c r="J156" s="382"/>
      <c r="K156" s="16"/>
      <c r="L156" s="27"/>
      <c r="M156" s="16"/>
      <c r="N156" s="16"/>
      <c r="O156" s="41"/>
      <c r="P156" s="16"/>
      <c r="Q156" s="49"/>
      <c r="R156" s="23"/>
      <c r="S156" s="190"/>
    </row>
    <row r="157" spans="1:19" x14ac:dyDescent="0.3">
      <c r="A157" s="16" t="s">
        <v>236</v>
      </c>
    </row>
    <row r="158" spans="1:19" x14ac:dyDescent="0.3">
      <c r="A158" s="316"/>
    </row>
  </sheetData>
  <mergeCells count="20">
    <mergeCell ref="A1:S1"/>
    <mergeCell ref="R9:R11"/>
    <mergeCell ref="M10:M11"/>
    <mergeCell ref="S9:S11"/>
    <mergeCell ref="N10:N11"/>
    <mergeCell ref="L9:L11"/>
    <mergeCell ref="M9:Q9"/>
    <mergeCell ref="C9:C11"/>
    <mergeCell ref="D9:D11"/>
    <mergeCell ref="E9:K10"/>
    <mergeCell ref="O10:O11"/>
    <mergeCell ref="A9:A11"/>
    <mergeCell ref="B9:B11"/>
    <mergeCell ref="P10:P11"/>
    <mergeCell ref="E2:S2"/>
    <mergeCell ref="E3:S3"/>
    <mergeCell ref="E7:S7"/>
    <mergeCell ref="E4:S4"/>
    <mergeCell ref="E5:S5"/>
    <mergeCell ref="Q10:Q11"/>
  </mergeCells>
  <phoneticPr fontId="0" type="noConversion"/>
  <printOptions horizontalCentered="1" verticalCentered="1"/>
  <pageMargins left="0.59055118110236227" right="0" top="0.78740157480314965" bottom="0.74803149606299213" header="0" footer="0"/>
  <pageSetup scale="60" fitToWidth="4" fitToHeight="4" orientation="landscape" r:id="rId1"/>
  <headerFooter alignWithMargins="0"/>
  <colBreaks count="1" manualBreakCount="1">
    <brk id="1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4889-BA3A-4961-BDC7-89399075E2F7}">
  <sheetPr>
    <tabColor theme="9" tint="-0.249977111117893"/>
  </sheetPr>
  <dimension ref="A1:Z157"/>
  <sheetViews>
    <sheetView topLeftCell="D138" zoomScale="130" zoomScaleNormal="130" workbookViewId="0">
      <selection sqref="A1:S157"/>
    </sheetView>
  </sheetViews>
  <sheetFormatPr baseColWidth="10" defaultColWidth="12" defaultRowHeight="12" customHeight="1" x14ac:dyDescent="0.3"/>
  <cols>
    <col min="1" max="1" width="8.42578125" style="6" customWidth="1"/>
    <col min="2" max="2" width="12.28515625" style="52" customWidth="1"/>
    <col min="3" max="3" width="31.28515625" style="52" customWidth="1"/>
    <col min="4" max="4" width="22.42578125" style="9" customWidth="1"/>
    <col min="5" max="6" width="20" style="10" customWidth="1"/>
    <col min="7" max="10" width="20" style="10" hidden="1" customWidth="1"/>
    <col min="11" max="11" width="20" style="10" customWidth="1"/>
    <col min="12" max="12" width="20" style="19" customWidth="1"/>
    <col min="13" max="13" width="18.7109375" style="9" customWidth="1"/>
    <col min="14" max="16" width="20" style="9" customWidth="1"/>
    <col min="17" max="17" width="20" style="474" customWidth="1"/>
    <col min="18" max="18" width="20" style="9" customWidth="1"/>
    <col min="19" max="19" width="14.85546875" style="50" customWidth="1"/>
    <col min="20" max="20" width="7.7109375" style="6" customWidth="1"/>
    <col min="21" max="21" width="12" style="6" customWidth="1"/>
    <col min="22" max="16384" width="12" style="6"/>
  </cols>
  <sheetData>
    <row r="1" spans="1:19" ht="12" customHeight="1" x14ac:dyDescent="0.3">
      <c r="A1" s="794"/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</row>
    <row r="2" spans="1:19" ht="16.2" customHeight="1" x14ac:dyDescent="0.3">
      <c r="E2" s="102"/>
      <c r="F2" s="816" t="s">
        <v>124</v>
      </c>
      <c r="G2" s="816"/>
      <c r="H2" s="816"/>
      <c r="I2" s="816"/>
      <c r="J2" s="816"/>
      <c r="K2" s="816"/>
      <c r="L2" s="816"/>
      <c r="M2" s="816"/>
      <c r="N2" s="816"/>
      <c r="O2" s="816"/>
      <c r="P2" s="816"/>
      <c r="Q2" s="816"/>
      <c r="R2" s="816"/>
      <c r="S2" s="816"/>
    </row>
    <row r="3" spans="1:19" s="7" customFormat="1" ht="16.2" customHeight="1" x14ac:dyDescent="0.2">
      <c r="A3" s="8"/>
      <c r="B3" s="475"/>
      <c r="C3" s="475"/>
      <c r="E3" s="102"/>
      <c r="F3" s="816" t="s">
        <v>227</v>
      </c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</row>
    <row r="4" spans="1:19" s="7" customFormat="1" ht="16.2" customHeight="1" x14ac:dyDescent="0.2">
      <c r="A4" s="8"/>
      <c r="B4" s="475"/>
      <c r="C4" s="475"/>
      <c r="E4" s="102"/>
      <c r="F4" s="816" t="s">
        <v>39</v>
      </c>
      <c r="G4" s="816"/>
      <c r="H4" s="816"/>
      <c r="I4" s="816"/>
      <c r="J4" s="816"/>
      <c r="K4" s="816"/>
      <c r="L4" s="816"/>
      <c r="M4" s="816"/>
      <c r="N4" s="816"/>
      <c r="O4" s="816"/>
      <c r="P4" s="816"/>
      <c r="Q4" s="816"/>
      <c r="R4" s="816"/>
      <c r="S4" s="816"/>
    </row>
    <row r="5" spans="1:19" s="7" customFormat="1" ht="16.2" customHeight="1" x14ac:dyDescent="0.2">
      <c r="A5" s="8"/>
      <c r="B5" s="475"/>
      <c r="C5" s="475"/>
      <c r="E5" s="102"/>
      <c r="F5" s="816" t="s">
        <v>182</v>
      </c>
      <c r="G5" s="816"/>
      <c r="H5" s="816"/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6"/>
    </row>
    <row r="6" spans="1:19" s="7" customFormat="1" ht="14.4" x14ac:dyDescent="0.2">
      <c r="A6" s="8"/>
      <c r="B6" s="475"/>
      <c r="C6" s="475"/>
      <c r="E6" s="102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</row>
    <row r="7" spans="1:19" s="7" customFormat="1" ht="16.2" customHeight="1" x14ac:dyDescent="0.2">
      <c r="A7" s="8"/>
      <c r="B7" s="475"/>
      <c r="C7" s="475"/>
      <c r="E7" s="102"/>
      <c r="F7" s="816" t="str">
        <f>+Ingresos!E6</f>
        <v>AL 30 DE JUNIO DEL 2026</v>
      </c>
      <c r="G7" s="816"/>
      <c r="H7" s="816"/>
      <c r="I7" s="816"/>
      <c r="J7" s="816"/>
      <c r="K7" s="816"/>
      <c r="L7" s="816"/>
      <c r="M7" s="816"/>
      <c r="N7" s="816"/>
      <c r="O7" s="816"/>
      <c r="P7" s="816"/>
      <c r="Q7" s="816"/>
      <c r="R7" s="816"/>
      <c r="S7" s="816"/>
    </row>
    <row r="8" spans="1:19" ht="14.4" x14ac:dyDescent="0.3">
      <c r="A8" s="476"/>
      <c r="B8" s="477"/>
      <c r="C8" s="477"/>
      <c r="D8" s="478"/>
      <c r="E8" s="479"/>
      <c r="F8" s="479"/>
      <c r="G8" s="479"/>
      <c r="H8" s="479"/>
      <c r="I8" s="479"/>
      <c r="J8" s="479"/>
      <c r="K8" s="479"/>
      <c r="L8" s="480"/>
      <c r="M8" s="478"/>
      <c r="N8" s="478"/>
      <c r="O8" s="478"/>
      <c r="P8" s="478"/>
      <c r="Q8" s="481"/>
      <c r="R8" s="478"/>
      <c r="S8" s="482"/>
    </row>
    <row r="9" spans="1:19" s="8" customFormat="1" ht="14.4" x14ac:dyDescent="0.2">
      <c r="A9" s="842" t="s">
        <v>41</v>
      </c>
      <c r="B9" s="845" t="s">
        <v>42</v>
      </c>
      <c r="C9" s="845" t="s">
        <v>43</v>
      </c>
      <c r="D9" s="848" t="s">
        <v>4</v>
      </c>
      <c r="E9" s="851" t="s">
        <v>44</v>
      </c>
      <c r="F9" s="852"/>
      <c r="G9" s="852"/>
      <c r="H9" s="852"/>
      <c r="I9" s="852"/>
      <c r="J9" s="852"/>
      <c r="K9" s="853"/>
      <c r="L9" s="857" t="s">
        <v>231</v>
      </c>
      <c r="M9" s="806" t="s">
        <v>45</v>
      </c>
      <c r="N9" s="807"/>
      <c r="O9" s="807"/>
      <c r="P9" s="807"/>
      <c r="Q9" s="808"/>
      <c r="R9" s="797" t="s">
        <v>46</v>
      </c>
      <c r="S9" s="800" t="s">
        <v>47</v>
      </c>
    </row>
    <row r="10" spans="1:19" s="8" customFormat="1" ht="16.5" customHeight="1" x14ac:dyDescent="0.2">
      <c r="A10" s="843"/>
      <c r="B10" s="846"/>
      <c r="C10" s="846"/>
      <c r="D10" s="849"/>
      <c r="E10" s="854"/>
      <c r="F10" s="855"/>
      <c r="G10" s="855"/>
      <c r="H10" s="855"/>
      <c r="I10" s="855"/>
      <c r="J10" s="855"/>
      <c r="K10" s="856"/>
      <c r="L10" s="858"/>
      <c r="M10" s="809" t="s">
        <v>500</v>
      </c>
      <c r="N10" s="811" t="s">
        <v>509</v>
      </c>
      <c r="O10" s="811" t="s">
        <v>510</v>
      </c>
      <c r="P10" s="811" t="s">
        <v>511</v>
      </c>
      <c r="Q10" s="795" t="s">
        <v>48</v>
      </c>
      <c r="R10" s="798"/>
      <c r="S10" s="801"/>
    </row>
    <row r="11" spans="1:19" s="8" customFormat="1" ht="11.25" customHeight="1" x14ac:dyDescent="0.2">
      <c r="A11" s="844"/>
      <c r="B11" s="847"/>
      <c r="C11" s="847"/>
      <c r="D11" s="850"/>
      <c r="E11" s="483" t="s">
        <v>266</v>
      </c>
      <c r="F11" s="483" t="s">
        <v>267</v>
      </c>
      <c r="G11" s="483" t="s">
        <v>268</v>
      </c>
      <c r="H11" s="483" t="s">
        <v>265</v>
      </c>
      <c r="I11" s="483" t="s">
        <v>269</v>
      </c>
      <c r="J11" s="483" t="s">
        <v>273</v>
      </c>
      <c r="K11" s="483" t="s">
        <v>49</v>
      </c>
      <c r="L11" s="859"/>
      <c r="M11" s="810"/>
      <c r="N11" s="812"/>
      <c r="O11" s="812"/>
      <c r="P11" s="812"/>
      <c r="Q11" s="796"/>
      <c r="R11" s="799"/>
      <c r="S11" s="802"/>
    </row>
    <row r="12" spans="1:19" s="8" customFormat="1" ht="14.4" x14ac:dyDescent="0.2">
      <c r="A12" s="484"/>
      <c r="B12" s="485"/>
      <c r="C12" s="485"/>
      <c r="D12" s="486"/>
      <c r="E12" s="487"/>
      <c r="F12" s="487"/>
      <c r="G12" s="487"/>
      <c r="H12" s="487"/>
      <c r="I12" s="487"/>
      <c r="J12" s="487"/>
      <c r="K12" s="487"/>
      <c r="L12" s="488"/>
      <c r="M12" s="661"/>
      <c r="N12" s="489"/>
      <c r="O12" s="489"/>
      <c r="P12" s="489"/>
      <c r="Q12" s="662"/>
      <c r="R12" s="490"/>
      <c r="S12" s="491"/>
    </row>
    <row r="13" spans="1:19" s="8" customFormat="1" ht="14.4" x14ac:dyDescent="0.2">
      <c r="A13" s="437">
        <v>1</v>
      </c>
      <c r="B13" s="439" t="s">
        <v>278</v>
      </c>
      <c r="C13" s="655" t="s">
        <v>51</v>
      </c>
      <c r="D13" s="440">
        <f t="shared" ref="D13:R13" si="0">SUM(D14+D18+D23+D29+D35)</f>
        <v>1828280983.7</v>
      </c>
      <c r="E13" s="440">
        <f t="shared" si="0"/>
        <v>0</v>
      </c>
      <c r="F13" s="440">
        <f t="shared" si="0"/>
        <v>0</v>
      </c>
      <c r="G13" s="440">
        <f t="shared" si="0"/>
        <v>0</v>
      </c>
      <c r="H13" s="440">
        <f t="shared" si="0"/>
        <v>0</v>
      </c>
      <c r="I13" s="440">
        <f t="shared" si="0"/>
        <v>0</v>
      </c>
      <c r="J13" s="440">
        <f t="shared" si="0"/>
        <v>0</v>
      </c>
      <c r="K13" s="440">
        <f t="shared" si="0"/>
        <v>0</v>
      </c>
      <c r="L13" s="506">
        <f t="shared" si="0"/>
        <v>1828280983.7</v>
      </c>
      <c r="M13" s="522">
        <v>418724271.63</v>
      </c>
      <c r="N13" s="440">
        <v>106737113.06999999</v>
      </c>
      <c r="O13" s="440">
        <v>107047292.84</v>
      </c>
      <c r="P13" s="440">
        <f t="shared" si="0"/>
        <v>109218086.91</v>
      </c>
      <c r="Q13" s="523">
        <f t="shared" si="0"/>
        <v>741726764.45000005</v>
      </c>
      <c r="R13" s="514">
        <f t="shared" si="0"/>
        <v>1086554219.25</v>
      </c>
      <c r="S13" s="467">
        <f>Q13/L13</f>
        <v>0.40569626390191066</v>
      </c>
    </row>
    <row r="14" spans="1:19" s="8" customFormat="1" ht="28.8" x14ac:dyDescent="0.2">
      <c r="A14" s="432"/>
      <c r="B14" s="420" t="s">
        <v>53</v>
      </c>
      <c r="C14" s="654" t="s">
        <v>279</v>
      </c>
      <c r="D14" s="422">
        <f t="shared" ref="D14:R14" si="1">SUM(D15:D17)</f>
        <v>925202305.86000001</v>
      </c>
      <c r="E14" s="422">
        <f t="shared" si="1"/>
        <v>0</v>
      </c>
      <c r="F14" s="422">
        <f t="shared" si="1"/>
        <v>0</v>
      </c>
      <c r="G14" s="422">
        <f t="shared" si="1"/>
        <v>0</v>
      </c>
      <c r="H14" s="422">
        <f t="shared" si="1"/>
        <v>0</v>
      </c>
      <c r="I14" s="422">
        <f t="shared" si="1"/>
        <v>0</v>
      </c>
      <c r="J14" s="422">
        <f t="shared" si="1"/>
        <v>0</v>
      </c>
      <c r="K14" s="422">
        <f t="shared" si="1"/>
        <v>0</v>
      </c>
      <c r="L14" s="507">
        <f t="shared" si="1"/>
        <v>925202305.86000001</v>
      </c>
      <c r="M14" s="524">
        <v>145812274.06</v>
      </c>
      <c r="N14" s="422">
        <v>49201115.370000005</v>
      </c>
      <c r="O14" s="422">
        <v>50959394.409999996</v>
      </c>
      <c r="P14" s="422">
        <f t="shared" si="1"/>
        <v>52105446.210000008</v>
      </c>
      <c r="Q14" s="525">
        <f t="shared" si="1"/>
        <v>298078230.05000001</v>
      </c>
      <c r="R14" s="515">
        <f t="shared" si="1"/>
        <v>627124075.80999994</v>
      </c>
      <c r="S14" s="468">
        <f t="shared" ref="S14:S77" si="2">Q14/L14</f>
        <v>0.32217627232665447</v>
      </c>
    </row>
    <row r="15" spans="1:19" s="7" customFormat="1" ht="14.4" x14ac:dyDescent="0.2">
      <c r="A15" s="492" t="s">
        <v>52</v>
      </c>
      <c r="B15" s="423" t="s">
        <v>280</v>
      </c>
      <c r="C15" s="424" t="s">
        <v>281</v>
      </c>
      <c r="D15" s="425">
        <v>905202305.86000001</v>
      </c>
      <c r="E15" s="425">
        <v>0</v>
      </c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f>SUM(E15:J15)</f>
        <v>0</v>
      </c>
      <c r="L15" s="508">
        <f>D15+K15</f>
        <v>905202305.86000001</v>
      </c>
      <c r="M15" s="526">
        <v>145812274.06</v>
      </c>
      <c r="N15" s="425">
        <v>49201115.370000005</v>
      </c>
      <c r="O15" s="425">
        <v>50959394.409999996</v>
      </c>
      <c r="P15" s="425">
        <f>Q15-M15-N15-O15</f>
        <v>52105446.210000008</v>
      </c>
      <c r="Q15" s="527">
        <v>298078230.05000001</v>
      </c>
      <c r="R15" s="516">
        <f>L15-Q15</f>
        <v>607124075.80999994</v>
      </c>
      <c r="S15" s="469">
        <f t="shared" si="2"/>
        <v>0.32929459869946603</v>
      </c>
    </row>
    <row r="16" spans="1:19" s="7" customFormat="1" ht="14.4" x14ac:dyDescent="0.2">
      <c r="A16" s="492" t="s">
        <v>52</v>
      </c>
      <c r="B16" s="423" t="s">
        <v>282</v>
      </c>
      <c r="C16" s="424" t="s">
        <v>283</v>
      </c>
      <c r="D16" s="425"/>
      <c r="E16" s="425">
        <v>0</v>
      </c>
      <c r="F16" s="425">
        <v>0</v>
      </c>
      <c r="G16" s="425">
        <v>0</v>
      </c>
      <c r="H16" s="425">
        <v>0</v>
      </c>
      <c r="I16" s="425">
        <v>0</v>
      </c>
      <c r="J16" s="425">
        <v>0</v>
      </c>
      <c r="K16" s="425">
        <f>SUM(E16:J16)</f>
        <v>0</v>
      </c>
      <c r="L16" s="508">
        <f>D16+K16</f>
        <v>0</v>
      </c>
      <c r="M16" s="526">
        <v>0</v>
      </c>
      <c r="N16" s="425">
        <v>0</v>
      </c>
      <c r="O16" s="425">
        <v>0</v>
      </c>
      <c r="P16" s="425">
        <v>0</v>
      </c>
      <c r="Q16" s="527">
        <v>0</v>
      </c>
      <c r="R16" s="516">
        <f t="shared" ref="R16:R17" si="3">L16-Q16</f>
        <v>0</v>
      </c>
      <c r="S16" s="469" t="e">
        <f t="shared" si="2"/>
        <v>#DIV/0!</v>
      </c>
    </row>
    <row r="17" spans="1:19" s="8" customFormat="1" ht="14.4" x14ac:dyDescent="0.2">
      <c r="A17" s="492" t="s">
        <v>52</v>
      </c>
      <c r="B17" s="423" t="s">
        <v>284</v>
      </c>
      <c r="C17" s="424" t="s">
        <v>54</v>
      </c>
      <c r="D17" s="425">
        <v>20000000</v>
      </c>
      <c r="E17" s="425">
        <v>0</v>
      </c>
      <c r="F17" s="425">
        <v>0</v>
      </c>
      <c r="G17" s="425">
        <v>0</v>
      </c>
      <c r="H17" s="425">
        <v>0</v>
      </c>
      <c r="I17" s="425">
        <v>0</v>
      </c>
      <c r="J17" s="425">
        <v>0</v>
      </c>
      <c r="K17" s="425">
        <f>SUM(E17:J17)</f>
        <v>0</v>
      </c>
      <c r="L17" s="508">
        <f>D17+K17</f>
        <v>20000000</v>
      </c>
      <c r="M17" s="526">
        <v>0</v>
      </c>
      <c r="N17" s="425">
        <v>0</v>
      </c>
      <c r="O17" s="425">
        <v>0</v>
      </c>
      <c r="P17" s="425">
        <f>Q17-M17-N17-O17</f>
        <v>0</v>
      </c>
      <c r="Q17" s="527">
        <v>0</v>
      </c>
      <c r="R17" s="516">
        <f t="shared" si="3"/>
        <v>20000000</v>
      </c>
      <c r="S17" s="469">
        <f t="shared" si="2"/>
        <v>0</v>
      </c>
    </row>
    <row r="18" spans="1:19" s="8" customFormat="1" ht="28.8" x14ac:dyDescent="0.3">
      <c r="A18" s="432" t="s">
        <v>52</v>
      </c>
      <c r="B18" s="427" t="s">
        <v>55</v>
      </c>
      <c r="C18" s="654" t="s">
        <v>285</v>
      </c>
      <c r="D18" s="422">
        <f t="shared" ref="D18:R18" si="4">SUM(D19:D22)</f>
        <v>14000000</v>
      </c>
      <c r="E18" s="422">
        <f t="shared" si="4"/>
        <v>0</v>
      </c>
      <c r="F18" s="422">
        <f t="shared" si="4"/>
        <v>0</v>
      </c>
      <c r="G18" s="422">
        <f t="shared" si="4"/>
        <v>0</v>
      </c>
      <c r="H18" s="422">
        <f t="shared" si="4"/>
        <v>0</v>
      </c>
      <c r="I18" s="422">
        <f t="shared" si="4"/>
        <v>0</v>
      </c>
      <c r="J18" s="422">
        <f t="shared" si="4"/>
        <v>0</v>
      </c>
      <c r="K18" s="422">
        <f t="shared" si="4"/>
        <v>0</v>
      </c>
      <c r="L18" s="507">
        <f t="shared" si="4"/>
        <v>14000000</v>
      </c>
      <c r="M18" s="524">
        <v>1848577.55</v>
      </c>
      <c r="N18" s="422">
        <v>341688.5</v>
      </c>
      <c r="O18" s="422">
        <v>40189.600000000006</v>
      </c>
      <c r="P18" s="422">
        <f t="shared" si="4"/>
        <v>211159.28</v>
      </c>
      <c r="Q18" s="525">
        <f t="shared" si="4"/>
        <v>2441614.9300000002</v>
      </c>
      <c r="R18" s="515">
        <f t="shared" si="4"/>
        <v>11558385.07</v>
      </c>
      <c r="S18" s="468">
        <f t="shared" si="2"/>
        <v>0.17440106642857145</v>
      </c>
    </row>
    <row r="19" spans="1:19" s="7" customFormat="1" ht="14.4" x14ac:dyDescent="0.2">
      <c r="A19" s="492" t="s">
        <v>52</v>
      </c>
      <c r="B19" s="423" t="s">
        <v>286</v>
      </c>
      <c r="C19" s="424" t="s">
        <v>287</v>
      </c>
      <c r="D19" s="425">
        <v>10000000</v>
      </c>
      <c r="E19" s="425">
        <v>0</v>
      </c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f>SUM(E19:J19)</f>
        <v>0</v>
      </c>
      <c r="L19" s="508">
        <f>D19+K19</f>
        <v>10000000</v>
      </c>
      <c r="M19" s="526">
        <v>189321.55</v>
      </c>
      <c r="N19" s="425">
        <v>0</v>
      </c>
      <c r="O19" s="425">
        <v>40189.600000000006</v>
      </c>
      <c r="P19" s="425">
        <f t="shared" ref="P19:P21" si="5">Q19-M19-N19-O19</f>
        <v>211159.28</v>
      </c>
      <c r="Q19" s="527">
        <v>440670.43</v>
      </c>
      <c r="R19" s="516">
        <f t="shared" ref="R19:R21" si="6">L19-Q19</f>
        <v>9559329.5700000003</v>
      </c>
      <c r="S19" s="469">
        <f t="shared" si="2"/>
        <v>4.4067043E-2</v>
      </c>
    </row>
    <row r="20" spans="1:19" s="7" customFormat="1" ht="14.4" x14ac:dyDescent="0.2">
      <c r="A20" s="492" t="s">
        <v>52</v>
      </c>
      <c r="B20" s="423" t="s">
        <v>288</v>
      </c>
      <c r="C20" s="424" t="s">
        <v>56</v>
      </c>
      <c r="D20" s="425">
        <v>2000000</v>
      </c>
      <c r="E20" s="425">
        <v>0</v>
      </c>
      <c r="F20" s="425">
        <v>0</v>
      </c>
      <c r="G20" s="425">
        <v>0</v>
      </c>
      <c r="H20" s="425">
        <v>0</v>
      </c>
      <c r="I20" s="425">
        <v>0</v>
      </c>
      <c r="J20" s="425">
        <v>0</v>
      </c>
      <c r="K20" s="425">
        <f>SUM(E20:J20)</f>
        <v>0</v>
      </c>
      <c r="L20" s="508">
        <f>D20+K20</f>
        <v>2000000</v>
      </c>
      <c r="M20" s="526">
        <v>1581081</v>
      </c>
      <c r="N20" s="425">
        <v>263513.5</v>
      </c>
      <c r="O20" s="425">
        <v>0</v>
      </c>
      <c r="P20" s="425">
        <f t="shared" si="5"/>
        <v>0</v>
      </c>
      <c r="Q20" s="527">
        <v>1844594.5</v>
      </c>
      <c r="R20" s="516">
        <f t="shared" si="6"/>
        <v>155405.5</v>
      </c>
      <c r="S20" s="469">
        <f t="shared" si="2"/>
        <v>0.92229724999999996</v>
      </c>
    </row>
    <row r="21" spans="1:19" s="8" customFormat="1" ht="14.4" x14ac:dyDescent="0.2">
      <c r="A21" s="492" t="s">
        <v>52</v>
      </c>
      <c r="B21" s="423" t="s">
        <v>289</v>
      </c>
      <c r="C21" s="424" t="s">
        <v>57</v>
      </c>
      <c r="D21" s="425">
        <v>2000000</v>
      </c>
      <c r="E21" s="425">
        <v>0</v>
      </c>
      <c r="F21" s="425">
        <v>0</v>
      </c>
      <c r="G21" s="425">
        <v>0</v>
      </c>
      <c r="H21" s="425">
        <v>0</v>
      </c>
      <c r="I21" s="425">
        <v>0</v>
      </c>
      <c r="J21" s="425">
        <v>0</v>
      </c>
      <c r="K21" s="425">
        <f>SUM(E21:J21)</f>
        <v>0</v>
      </c>
      <c r="L21" s="508">
        <f>D21+K21</f>
        <v>2000000</v>
      </c>
      <c r="M21" s="526">
        <v>78175</v>
      </c>
      <c r="N21" s="425">
        <v>78175</v>
      </c>
      <c r="O21" s="425">
        <v>0</v>
      </c>
      <c r="P21" s="425">
        <f t="shared" si="5"/>
        <v>0</v>
      </c>
      <c r="Q21" s="527">
        <v>156350</v>
      </c>
      <c r="R21" s="516">
        <f t="shared" si="6"/>
        <v>1843650</v>
      </c>
      <c r="S21" s="469">
        <f t="shared" si="2"/>
        <v>7.8174999999999994E-2</v>
      </c>
    </row>
    <row r="22" spans="1:19" s="7" customFormat="1" ht="14.4" x14ac:dyDescent="0.2">
      <c r="A22" s="492" t="s">
        <v>52</v>
      </c>
      <c r="B22" s="423" t="s">
        <v>290</v>
      </c>
      <c r="C22" s="424" t="s">
        <v>58</v>
      </c>
      <c r="D22" s="425">
        <v>0</v>
      </c>
      <c r="E22" s="425">
        <v>0</v>
      </c>
      <c r="F22" s="425">
        <v>0</v>
      </c>
      <c r="G22" s="425">
        <v>0</v>
      </c>
      <c r="H22" s="425">
        <v>0</v>
      </c>
      <c r="I22" s="425">
        <v>0</v>
      </c>
      <c r="J22" s="425">
        <v>0</v>
      </c>
      <c r="K22" s="425">
        <f>SUM(E22:J22)</f>
        <v>0</v>
      </c>
      <c r="L22" s="508">
        <f>D22+K22</f>
        <v>0</v>
      </c>
      <c r="M22" s="526">
        <v>0</v>
      </c>
      <c r="N22" s="425">
        <v>0</v>
      </c>
      <c r="O22" s="425">
        <v>0</v>
      </c>
      <c r="P22" s="425">
        <v>0</v>
      </c>
      <c r="Q22" s="527">
        <v>0</v>
      </c>
      <c r="R22" s="516">
        <f t="shared" ref="R22" si="7">L22-Q22</f>
        <v>0</v>
      </c>
      <c r="S22" s="469" t="e">
        <f t="shared" ref="S22" si="8">Q22/L22</f>
        <v>#DIV/0!</v>
      </c>
    </row>
    <row r="23" spans="1:19" s="8" customFormat="1" ht="14.4" x14ac:dyDescent="0.3">
      <c r="A23" s="432" t="s">
        <v>52</v>
      </c>
      <c r="B23" s="427" t="s">
        <v>59</v>
      </c>
      <c r="C23" s="654" t="s">
        <v>291</v>
      </c>
      <c r="D23" s="422">
        <f t="shared" ref="D23:R23" si="9">SUM(D24:D28)</f>
        <v>484959346.92000002</v>
      </c>
      <c r="E23" s="422">
        <f t="shared" si="9"/>
        <v>0</v>
      </c>
      <c r="F23" s="422">
        <f t="shared" si="9"/>
        <v>0</v>
      </c>
      <c r="G23" s="422">
        <f t="shared" si="9"/>
        <v>0</v>
      </c>
      <c r="H23" s="422">
        <f t="shared" si="9"/>
        <v>0</v>
      </c>
      <c r="I23" s="422">
        <f t="shared" si="9"/>
        <v>0</v>
      </c>
      <c r="J23" s="422">
        <f t="shared" si="9"/>
        <v>0</v>
      </c>
      <c r="K23" s="422">
        <f t="shared" si="9"/>
        <v>0</v>
      </c>
      <c r="L23" s="507">
        <f t="shared" si="9"/>
        <v>484959346.92000002</v>
      </c>
      <c r="M23" s="524">
        <v>172010805.38999999</v>
      </c>
      <c r="N23" s="422">
        <v>31827715.700000003</v>
      </c>
      <c r="O23" s="422">
        <v>30540779.049999997</v>
      </c>
      <c r="P23" s="422">
        <f t="shared" si="9"/>
        <v>30865743.399999995</v>
      </c>
      <c r="Q23" s="525">
        <f t="shared" si="9"/>
        <v>265245043.53999999</v>
      </c>
      <c r="R23" s="515">
        <f t="shared" si="9"/>
        <v>219714303.38000003</v>
      </c>
      <c r="S23" s="468">
        <f t="shared" si="2"/>
        <v>0.54694284216725364</v>
      </c>
    </row>
    <row r="24" spans="1:19" s="7" customFormat="1" ht="28.8" x14ac:dyDescent="0.2">
      <c r="A24" s="492" t="s">
        <v>52</v>
      </c>
      <c r="B24" s="423" t="s">
        <v>292</v>
      </c>
      <c r="C24" s="424" t="s">
        <v>60</v>
      </c>
      <c r="D24" s="425">
        <v>99219600</v>
      </c>
      <c r="E24" s="425">
        <v>0</v>
      </c>
      <c r="F24" s="425">
        <v>0</v>
      </c>
      <c r="G24" s="425">
        <v>0</v>
      </c>
      <c r="H24" s="425">
        <v>0</v>
      </c>
      <c r="I24" s="425">
        <v>0</v>
      </c>
      <c r="J24" s="425">
        <v>0</v>
      </c>
      <c r="K24" s="425">
        <f>SUM(E24:J24)</f>
        <v>0</v>
      </c>
      <c r="L24" s="508">
        <f>D24+K24</f>
        <v>99219600</v>
      </c>
      <c r="M24" s="526">
        <v>31901969.32</v>
      </c>
      <c r="N24" s="425">
        <v>10788754.200000003</v>
      </c>
      <c r="O24" s="425">
        <v>10388895.639999993</v>
      </c>
      <c r="P24" s="425">
        <f t="shared" ref="P24:P28" si="10">Q24-M24-N24-O24</f>
        <v>10527821.810000002</v>
      </c>
      <c r="Q24" s="527">
        <v>63607440.969999999</v>
      </c>
      <c r="R24" s="516">
        <f t="shared" ref="R24:R28" si="11">L24-Q24</f>
        <v>35612159.030000001</v>
      </c>
      <c r="S24" s="469">
        <f t="shared" si="2"/>
        <v>0.64107737755443484</v>
      </c>
    </row>
    <row r="25" spans="1:19" s="7" customFormat="1" ht="28.8" x14ac:dyDescent="0.2">
      <c r="A25" s="492" t="s">
        <v>52</v>
      </c>
      <c r="B25" s="423" t="s">
        <v>293</v>
      </c>
      <c r="C25" s="424" t="s">
        <v>294</v>
      </c>
      <c r="D25" s="425">
        <v>131311040.81</v>
      </c>
      <c r="E25" s="425">
        <v>0</v>
      </c>
      <c r="F25" s="425">
        <v>0</v>
      </c>
      <c r="G25" s="425">
        <v>0</v>
      </c>
      <c r="H25" s="425">
        <v>0</v>
      </c>
      <c r="I25" s="425">
        <v>0</v>
      </c>
      <c r="J25" s="425">
        <v>0</v>
      </c>
      <c r="K25" s="425">
        <f>SUM(E25:J25)</f>
        <v>0</v>
      </c>
      <c r="L25" s="508">
        <f>D25+K25</f>
        <v>131311040.81</v>
      </c>
      <c r="M25" s="526">
        <v>47137225.659999996</v>
      </c>
      <c r="N25" s="425">
        <v>15968087.920000002</v>
      </c>
      <c r="O25" s="425">
        <v>15385857.010000005</v>
      </c>
      <c r="P25" s="425">
        <f t="shared" si="10"/>
        <v>15555150.75999999</v>
      </c>
      <c r="Q25" s="527">
        <v>94046321.349999994</v>
      </c>
      <c r="R25" s="516">
        <f t="shared" si="11"/>
        <v>37264719.460000008</v>
      </c>
      <c r="S25" s="469">
        <f t="shared" si="2"/>
        <v>0.71621031079998787</v>
      </c>
    </row>
    <row r="26" spans="1:19" s="7" customFormat="1" ht="14.4" x14ac:dyDescent="0.2">
      <c r="A26" s="492" t="s">
        <v>52</v>
      </c>
      <c r="B26" s="423" t="s">
        <v>295</v>
      </c>
      <c r="C26" s="424" t="s">
        <v>296</v>
      </c>
      <c r="D26" s="425">
        <v>109550491.87</v>
      </c>
      <c r="E26" s="425">
        <v>0</v>
      </c>
      <c r="F26" s="425">
        <v>0</v>
      </c>
      <c r="G26" s="425">
        <v>0</v>
      </c>
      <c r="H26" s="425">
        <v>0</v>
      </c>
      <c r="I26" s="425">
        <v>0</v>
      </c>
      <c r="J26" s="425">
        <v>0</v>
      </c>
      <c r="K26" s="425">
        <f>SUM(E26:J26)</f>
        <v>0</v>
      </c>
      <c r="L26" s="508">
        <f>D26+K26</f>
        <v>109550491.87</v>
      </c>
      <c r="M26" s="526">
        <v>0</v>
      </c>
      <c r="N26" s="425">
        <v>0</v>
      </c>
      <c r="O26" s="425">
        <v>0</v>
      </c>
      <c r="P26" s="425">
        <f t="shared" si="10"/>
        <v>0</v>
      </c>
      <c r="Q26" s="527">
        <v>0</v>
      </c>
      <c r="R26" s="516">
        <f t="shared" si="11"/>
        <v>109550491.87</v>
      </c>
      <c r="S26" s="469">
        <f t="shared" si="2"/>
        <v>0</v>
      </c>
    </row>
    <row r="27" spans="1:19" s="8" customFormat="1" ht="14.4" x14ac:dyDescent="0.2">
      <c r="A27" s="492" t="s">
        <v>52</v>
      </c>
      <c r="B27" s="423" t="s">
        <v>297</v>
      </c>
      <c r="C27" s="424" t="s">
        <v>298</v>
      </c>
      <c r="D27" s="425">
        <v>101086596.23999999</v>
      </c>
      <c r="E27" s="425">
        <v>0</v>
      </c>
      <c r="F27" s="425">
        <v>0</v>
      </c>
      <c r="G27" s="425">
        <v>0</v>
      </c>
      <c r="H27" s="425">
        <v>0</v>
      </c>
      <c r="I27" s="425">
        <v>0</v>
      </c>
      <c r="J27" s="425">
        <v>0</v>
      </c>
      <c r="K27" s="425">
        <f>SUM(E27:J27)</f>
        <v>0</v>
      </c>
      <c r="L27" s="508">
        <f>D27+K27</f>
        <v>101086596.23999999</v>
      </c>
      <c r="M27" s="526">
        <v>77917720.810000002</v>
      </c>
      <c r="N27" s="425">
        <v>0</v>
      </c>
      <c r="O27" s="425">
        <v>0</v>
      </c>
      <c r="P27" s="425">
        <f t="shared" si="10"/>
        <v>0</v>
      </c>
      <c r="Q27" s="527">
        <v>77917720.810000002</v>
      </c>
      <c r="R27" s="516">
        <f t="shared" si="11"/>
        <v>23168875.429999992</v>
      </c>
      <c r="S27" s="469">
        <f t="shared" si="2"/>
        <v>0.77080170574749196</v>
      </c>
    </row>
    <row r="28" spans="1:19" s="7" customFormat="1" ht="14.4" x14ac:dyDescent="0.2">
      <c r="A28" s="492" t="s">
        <v>52</v>
      </c>
      <c r="B28" s="423" t="s">
        <v>299</v>
      </c>
      <c r="C28" s="424" t="s">
        <v>300</v>
      </c>
      <c r="D28" s="425">
        <v>43791618</v>
      </c>
      <c r="E28" s="425">
        <v>0</v>
      </c>
      <c r="F28" s="425">
        <v>0</v>
      </c>
      <c r="G28" s="425">
        <v>0</v>
      </c>
      <c r="H28" s="425">
        <v>0</v>
      </c>
      <c r="I28" s="425">
        <v>0</v>
      </c>
      <c r="J28" s="425">
        <v>0</v>
      </c>
      <c r="K28" s="425">
        <f>SUM(E28:J28)</f>
        <v>0</v>
      </c>
      <c r="L28" s="508">
        <f>D28+K28</f>
        <v>43791618</v>
      </c>
      <c r="M28" s="526">
        <v>15053889.6</v>
      </c>
      <c r="N28" s="425">
        <v>5070873.58</v>
      </c>
      <c r="O28" s="425">
        <v>4766026.3999999985</v>
      </c>
      <c r="P28" s="425">
        <f t="shared" si="10"/>
        <v>4782770.8300000019</v>
      </c>
      <c r="Q28" s="527">
        <v>29673560.41</v>
      </c>
      <c r="R28" s="516">
        <f t="shared" si="11"/>
        <v>14118057.59</v>
      </c>
      <c r="S28" s="469">
        <f t="shared" si="2"/>
        <v>0.67760822196613057</v>
      </c>
    </row>
    <row r="29" spans="1:19" s="8" customFormat="1" ht="28.8" x14ac:dyDescent="0.3">
      <c r="A29" s="432" t="s">
        <v>61</v>
      </c>
      <c r="B29" s="427" t="s">
        <v>62</v>
      </c>
      <c r="C29" s="654" t="s">
        <v>494</v>
      </c>
      <c r="D29" s="422">
        <f t="shared" ref="D29:R29" si="12">SUM(D30:D34)</f>
        <v>220197369.44</v>
      </c>
      <c r="E29" s="422">
        <f t="shared" si="12"/>
        <v>0</v>
      </c>
      <c r="F29" s="422">
        <f t="shared" si="12"/>
        <v>0</v>
      </c>
      <c r="G29" s="422">
        <f t="shared" si="12"/>
        <v>0</v>
      </c>
      <c r="H29" s="422">
        <f t="shared" si="12"/>
        <v>0</v>
      </c>
      <c r="I29" s="422">
        <f t="shared" si="12"/>
        <v>0</v>
      </c>
      <c r="J29" s="422">
        <f t="shared" si="12"/>
        <v>0</v>
      </c>
      <c r="K29" s="422">
        <f t="shared" si="12"/>
        <v>0</v>
      </c>
      <c r="L29" s="507">
        <f t="shared" si="12"/>
        <v>220197369.44</v>
      </c>
      <c r="M29" s="524">
        <v>53513291.569999993</v>
      </c>
      <c r="N29" s="422">
        <v>13673700.740000002</v>
      </c>
      <c r="O29" s="422">
        <v>13746288.009999998</v>
      </c>
      <c r="P29" s="422">
        <f t="shared" si="12"/>
        <v>14021320.659999998</v>
      </c>
      <c r="Q29" s="525">
        <f t="shared" si="12"/>
        <v>94954600.980000004</v>
      </c>
      <c r="R29" s="515">
        <f t="shared" si="12"/>
        <v>125242768.45999998</v>
      </c>
      <c r="S29" s="468">
        <f t="shared" si="2"/>
        <v>0.43122495614496203</v>
      </c>
    </row>
    <row r="30" spans="1:19" s="7" customFormat="1" ht="28.8" x14ac:dyDescent="0.2">
      <c r="A30" s="472" t="s">
        <v>61</v>
      </c>
      <c r="B30" s="423" t="s">
        <v>301</v>
      </c>
      <c r="C30" s="424" t="s">
        <v>493</v>
      </c>
      <c r="D30" s="425">
        <v>121601532.38</v>
      </c>
      <c r="E30" s="425">
        <v>0</v>
      </c>
      <c r="F30" s="425">
        <v>0</v>
      </c>
      <c r="G30" s="425">
        <v>0</v>
      </c>
      <c r="H30" s="425">
        <v>0</v>
      </c>
      <c r="I30" s="425">
        <v>0</v>
      </c>
      <c r="J30" s="425">
        <v>0</v>
      </c>
      <c r="K30" s="425">
        <f>SUM(E30:J30)</f>
        <v>0</v>
      </c>
      <c r="L30" s="508">
        <f>D30+K30</f>
        <v>121601532.38</v>
      </c>
      <c r="M30" s="526">
        <v>29552115.989999998</v>
      </c>
      <c r="N30" s="425">
        <v>7551148.070000004</v>
      </c>
      <c r="O30" s="425">
        <v>7591233.5799999982</v>
      </c>
      <c r="P30" s="425">
        <f t="shared" ref="P30:P34" si="13">Q30-M30-N30-O30</f>
        <v>7743117.2599999979</v>
      </c>
      <c r="Q30" s="527">
        <v>52437614.899999999</v>
      </c>
      <c r="R30" s="516">
        <f t="shared" ref="R30:R34" si="14">L30-Q30</f>
        <v>69163917.479999989</v>
      </c>
      <c r="S30" s="469">
        <f t="shared" si="2"/>
        <v>0.43122495147622414</v>
      </c>
    </row>
    <row r="31" spans="1:19" s="7" customFormat="1" ht="28.8" x14ac:dyDescent="0.2">
      <c r="A31" s="492" t="s">
        <v>61</v>
      </c>
      <c r="B31" s="423" t="s">
        <v>302</v>
      </c>
      <c r="C31" s="424" t="s">
        <v>492</v>
      </c>
      <c r="D31" s="425">
        <v>6573055.7999999998</v>
      </c>
      <c r="E31" s="425">
        <v>0</v>
      </c>
      <c r="F31" s="425">
        <v>0</v>
      </c>
      <c r="G31" s="425">
        <v>0</v>
      </c>
      <c r="H31" s="425">
        <v>0</v>
      </c>
      <c r="I31" s="425">
        <v>0</v>
      </c>
      <c r="J31" s="425">
        <v>0</v>
      </c>
      <c r="K31" s="425">
        <f>SUM(E31:J31)</f>
        <v>0</v>
      </c>
      <c r="L31" s="508">
        <f>D31+K31</f>
        <v>6573055.7999999998</v>
      </c>
      <c r="M31" s="526">
        <v>1597411.69</v>
      </c>
      <c r="N31" s="425">
        <v>408170.19999999995</v>
      </c>
      <c r="O31" s="425">
        <v>410336.97</v>
      </c>
      <c r="P31" s="425">
        <f t="shared" si="13"/>
        <v>418546.91999999993</v>
      </c>
      <c r="Q31" s="527">
        <v>2834465.78</v>
      </c>
      <c r="R31" s="516">
        <f t="shared" si="14"/>
        <v>3738590.02</v>
      </c>
      <c r="S31" s="469">
        <f t="shared" si="2"/>
        <v>0.43122496845378977</v>
      </c>
    </row>
    <row r="32" spans="1:19" s="7" customFormat="1" ht="28.8" x14ac:dyDescent="0.2">
      <c r="A32" s="492" t="s">
        <v>61</v>
      </c>
      <c r="B32" s="423" t="s">
        <v>303</v>
      </c>
      <c r="C32" s="424" t="s">
        <v>491</v>
      </c>
      <c r="D32" s="425">
        <v>19719167.41</v>
      </c>
      <c r="E32" s="425">
        <v>0</v>
      </c>
      <c r="F32" s="425">
        <v>0</v>
      </c>
      <c r="G32" s="425">
        <v>0</v>
      </c>
      <c r="H32" s="425">
        <v>0</v>
      </c>
      <c r="I32" s="425">
        <v>0</v>
      </c>
      <c r="J32" s="425">
        <v>0</v>
      </c>
      <c r="K32" s="425">
        <f>SUM(E32:J32)</f>
        <v>0</v>
      </c>
      <c r="L32" s="508">
        <f>D32+K32</f>
        <v>19719167.41</v>
      </c>
      <c r="M32" s="526">
        <v>4792235.04</v>
      </c>
      <c r="N32" s="425">
        <v>1224510.5</v>
      </c>
      <c r="O32" s="425">
        <v>1231010.8600000003</v>
      </c>
      <c r="P32" s="425">
        <f t="shared" si="13"/>
        <v>1255640.6500000004</v>
      </c>
      <c r="Q32" s="527">
        <v>8503397.0500000007</v>
      </c>
      <c r="R32" s="516">
        <f t="shared" si="14"/>
        <v>11215770.359999999</v>
      </c>
      <c r="S32" s="469">
        <f t="shared" si="2"/>
        <v>0.43122495352860341</v>
      </c>
    </row>
    <row r="33" spans="1:19" s="8" customFormat="1" ht="28.8" x14ac:dyDescent="0.2">
      <c r="A33" s="492" t="s">
        <v>61</v>
      </c>
      <c r="B33" s="423" t="s">
        <v>304</v>
      </c>
      <c r="C33" s="424" t="s">
        <v>490</v>
      </c>
      <c r="D33" s="425">
        <v>65730558.049999997</v>
      </c>
      <c r="E33" s="425">
        <v>0</v>
      </c>
      <c r="F33" s="425">
        <v>0</v>
      </c>
      <c r="G33" s="425">
        <v>0</v>
      </c>
      <c r="H33" s="425">
        <v>0</v>
      </c>
      <c r="I33" s="425">
        <v>0</v>
      </c>
      <c r="J33" s="425">
        <v>0</v>
      </c>
      <c r="K33" s="425">
        <f>SUM(E33:J33)</f>
        <v>0</v>
      </c>
      <c r="L33" s="508">
        <f>D33+K33</f>
        <v>65730558.049999997</v>
      </c>
      <c r="M33" s="526">
        <v>15974117.16</v>
      </c>
      <c r="N33" s="425">
        <v>4081701.7699999996</v>
      </c>
      <c r="O33" s="425">
        <v>4103369.629999999</v>
      </c>
      <c r="P33" s="425">
        <f t="shared" si="13"/>
        <v>4185468.91</v>
      </c>
      <c r="Q33" s="527">
        <v>28344657.469999999</v>
      </c>
      <c r="R33" s="516">
        <f t="shared" si="14"/>
        <v>37385900.579999998</v>
      </c>
      <c r="S33" s="469">
        <f t="shared" si="2"/>
        <v>0.43122496310526914</v>
      </c>
    </row>
    <row r="34" spans="1:19" s="7" customFormat="1" ht="28.8" x14ac:dyDescent="0.2">
      <c r="A34" s="492" t="s">
        <v>61</v>
      </c>
      <c r="B34" s="423" t="s">
        <v>305</v>
      </c>
      <c r="C34" s="424" t="s">
        <v>488</v>
      </c>
      <c r="D34" s="425">
        <v>6573055.7999999998</v>
      </c>
      <c r="E34" s="425">
        <v>0</v>
      </c>
      <c r="F34" s="425">
        <v>0</v>
      </c>
      <c r="G34" s="425">
        <v>0</v>
      </c>
      <c r="H34" s="425">
        <v>0</v>
      </c>
      <c r="I34" s="425">
        <v>0</v>
      </c>
      <c r="J34" s="425">
        <v>0</v>
      </c>
      <c r="K34" s="425">
        <f>SUM(E34:J34)</f>
        <v>0</v>
      </c>
      <c r="L34" s="508">
        <f>D34+K34</f>
        <v>6573055.7999999998</v>
      </c>
      <c r="M34" s="526">
        <v>1597411.69</v>
      </c>
      <c r="N34" s="425">
        <v>408170.19999999995</v>
      </c>
      <c r="O34" s="425">
        <v>410336.97</v>
      </c>
      <c r="P34" s="425">
        <f t="shared" si="13"/>
        <v>418546.91999999993</v>
      </c>
      <c r="Q34" s="527">
        <v>2834465.78</v>
      </c>
      <c r="R34" s="516">
        <f t="shared" si="14"/>
        <v>3738590.02</v>
      </c>
      <c r="S34" s="469">
        <f t="shared" si="2"/>
        <v>0.43122496845378977</v>
      </c>
    </row>
    <row r="35" spans="1:19" s="8" customFormat="1" ht="28.8" x14ac:dyDescent="0.3">
      <c r="A35" s="493" t="s">
        <v>61</v>
      </c>
      <c r="B35" s="427" t="s">
        <v>63</v>
      </c>
      <c r="C35" s="654" t="s">
        <v>487</v>
      </c>
      <c r="D35" s="422">
        <f t="shared" ref="D35:R35" si="15">SUM(D36:D39)</f>
        <v>183921961.47999999</v>
      </c>
      <c r="E35" s="422">
        <f t="shared" si="15"/>
        <v>0</v>
      </c>
      <c r="F35" s="422">
        <f t="shared" si="15"/>
        <v>0</v>
      </c>
      <c r="G35" s="422">
        <f t="shared" si="15"/>
        <v>0</v>
      </c>
      <c r="H35" s="422">
        <f t="shared" si="15"/>
        <v>0</v>
      </c>
      <c r="I35" s="422">
        <f t="shared" si="15"/>
        <v>0</v>
      </c>
      <c r="J35" s="422">
        <f t="shared" si="15"/>
        <v>0</v>
      </c>
      <c r="K35" s="422">
        <f t="shared" si="15"/>
        <v>0</v>
      </c>
      <c r="L35" s="507">
        <f t="shared" si="15"/>
        <v>183921961.47999999</v>
      </c>
      <c r="M35" s="524">
        <v>45539323.059999995</v>
      </c>
      <c r="N35" s="422">
        <v>11692892.759999998</v>
      </c>
      <c r="O35" s="422">
        <v>11760641.770000003</v>
      </c>
      <c r="P35" s="422">
        <f t="shared" si="15"/>
        <v>12014417.360000001</v>
      </c>
      <c r="Q35" s="525">
        <f t="shared" si="15"/>
        <v>81007274.950000003</v>
      </c>
      <c r="R35" s="515">
        <f t="shared" si="15"/>
        <v>102914686.53</v>
      </c>
      <c r="S35" s="468">
        <f t="shared" si="2"/>
        <v>0.44044373112456658</v>
      </c>
    </row>
    <row r="36" spans="1:19" s="7" customFormat="1" ht="28.8" x14ac:dyDescent="0.2">
      <c r="A36" s="472" t="s">
        <v>61</v>
      </c>
      <c r="B36" s="423" t="s">
        <v>306</v>
      </c>
      <c r="C36" s="424" t="s">
        <v>464</v>
      </c>
      <c r="D36" s="425">
        <v>73355302.780000001</v>
      </c>
      <c r="E36" s="425">
        <v>0</v>
      </c>
      <c r="F36" s="425">
        <v>0</v>
      </c>
      <c r="G36" s="425">
        <v>0</v>
      </c>
      <c r="H36" s="425">
        <v>0</v>
      </c>
      <c r="I36" s="425">
        <v>0</v>
      </c>
      <c r="J36" s="425">
        <v>0</v>
      </c>
      <c r="K36" s="425">
        <f>SUM(E36:J36)</f>
        <v>0</v>
      </c>
      <c r="L36" s="508">
        <f>D36+K36</f>
        <v>73355302.780000001</v>
      </c>
      <c r="M36" s="526">
        <v>17827114.48</v>
      </c>
      <c r="N36" s="425">
        <v>4555179.2199999988</v>
      </c>
      <c r="O36" s="425">
        <v>4579360.4400000013</v>
      </c>
      <c r="P36" s="425">
        <f t="shared" ref="P36:P39" si="16">Q36-M36-N36-O36</f>
        <v>4670983.25</v>
      </c>
      <c r="Q36" s="527">
        <v>31632637.390000001</v>
      </c>
      <c r="R36" s="516">
        <f t="shared" ref="R36:R39" si="17">L36-Q36</f>
        <v>41722665.390000001</v>
      </c>
      <c r="S36" s="469">
        <f t="shared" si="2"/>
        <v>0.43122495840375019</v>
      </c>
    </row>
    <row r="37" spans="1:19" s="7" customFormat="1" ht="28.8" x14ac:dyDescent="0.2">
      <c r="A37" s="492" t="s">
        <v>61</v>
      </c>
      <c r="B37" s="423" t="s">
        <v>307</v>
      </c>
      <c r="C37" s="424" t="s">
        <v>465</v>
      </c>
      <c r="D37" s="425">
        <v>39438334.829999998</v>
      </c>
      <c r="E37" s="425">
        <v>0</v>
      </c>
      <c r="F37" s="425">
        <v>0</v>
      </c>
      <c r="G37" s="425">
        <v>0</v>
      </c>
      <c r="H37" s="425">
        <v>0</v>
      </c>
      <c r="I37" s="425">
        <v>0</v>
      </c>
      <c r="J37" s="425">
        <v>0</v>
      </c>
      <c r="K37" s="425">
        <f>SUM(E37:J37)</f>
        <v>0</v>
      </c>
      <c r="L37" s="508">
        <f>D37+K37</f>
        <v>39438334.829999998</v>
      </c>
      <c r="M37" s="526">
        <v>9584470.9199999999</v>
      </c>
      <c r="N37" s="425">
        <v>2449021.2799999993</v>
      </c>
      <c r="O37" s="425">
        <v>2462022</v>
      </c>
      <c r="P37" s="425">
        <f t="shared" si="16"/>
        <v>2511281.5500000007</v>
      </c>
      <c r="Q37" s="527">
        <v>17006795.75</v>
      </c>
      <c r="R37" s="516">
        <f t="shared" si="17"/>
        <v>22431539.079999998</v>
      </c>
      <c r="S37" s="469">
        <f t="shared" si="2"/>
        <v>0.43122499525672803</v>
      </c>
    </row>
    <row r="38" spans="1:19" s="7" customFormat="1" ht="28.8" x14ac:dyDescent="0.2">
      <c r="A38" s="492" t="s">
        <v>61</v>
      </c>
      <c r="B38" s="423" t="s">
        <v>308</v>
      </c>
      <c r="C38" s="424" t="s">
        <v>309</v>
      </c>
      <c r="D38" s="425">
        <v>19719167.41</v>
      </c>
      <c r="E38" s="425">
        <v>0</v>
      </c>
      <c r="F38" s="425">
        <v>0</v>
      </c>
      <c r="G38" s="425">
        <v>0</v>
      </c>
      <c r="H38" s="425">
        <v>0</v>
      </c>
      <c r="I38" s="425">
        <v>0</v>
      </c>
      <c r="J38" s="425">
        <v>0</v>
      </c>
      <c r="K38" s="425">
        <f>SUM(E38:J38)</f>
        <v>0</v>
      </c>
      <c r="L38" s="508">
        <f>D38+K38</f>
        <v>19719167.41</v>
      </c>
      <c r="M38" s="526">
        <v>4792235.04</v>
      </c>
      <c r="N38" s="425">
        <v>1224510.5</v>
      </c>
      <c r="O38" s="425">
        <v>1231010.8600000003</v>
      </c>
      <c r="P38" s="425">
        <f t="shared" si="16"/>
        <v>1263236.3100000005</v>
      </c>
      <c r="Q38" s="527">
        <v>8510992.7100000009</v>
      </c>
      <c r="R38" s="516">
        <f t="shared" si="17"/>
        <v>11208174.699999999</v>
      </c>
      <c r="S38" s="469">
        <f t="shared" si="2"/>
        <v>0.43161014524801383</v>
      </c>
    </row>
    <row r="39" spans="1:19" s="8" customFormat="1" ht="28.8" x14ac:dyDescent="0.2">
      <c r="A39" s="494" t="s">
        <v>61</v>
      </c>
      <c r="B39" s="423" t="s">
        <v>310</v>
      </c>
      <c r="C39" s="424" t="s">
        <v>489</v>
      </c>
      <c r="D39" s="425">
        <v>51409156.460000001</v>
      </c>
      <c r="E39" s="425">
        <v>0</v>
      </c>
      <c r="F39" s="425">
        <v>0</v>
      </c>
      <c r="G39" s="425">
        <v>0</v>
      </c>
      <c r="H39" s="425">
        <v>0</v>
      </c>
      <c r="I39" s="425">
        <v>0</v>
      </c>
      <c r="J39" s="425">
        <v>0</v>
      </c>
      <c r="K39" s="425">
        <f>SUM(E39:J39)</f>
        <v>0</v>
      </c>
      <c r="L39" s="508">
        <f>D39+K39</f>
        <v>51409156.460000001</v>
      </c>
      <c r="M39" s="526">
        <v>13335502.619999999</v>
      </c>
      <c r="N39" s="425">
        <v>3464181.7599999998</v>
      </c>
      <c r="O39" s="425">
        <v>3488248.4700000025</v>
      </c>
      <c r="P39" s="425">
        <f t="shared" si="16"/>
        <v>3568916.25</v>
      </c>
      <c r="Q39" s="527">
        <v>23856849.100000001</v>
      </c>
      <c r="R39" s="516">
        <f t="shared" si="17"/>
        <v>27552307.359999999</v>
      </c>
      <c r="S39" s="469">
        <f t="shared" si="2"/>
        <v>0.46405836513894827</v>
      </c>
    </row>
    <row r="40" spans="1:19" s="8" customFormat="1" ht="14.4" x14ac:dyDescent="0.3">
      <c r="A40" s="492"/>
      <c r="B40" s="429"/>
      <c r="C40" s="654"/>
      <c r="D40" s="495"/>
      <c r="E40" s="495"/>
      <c r="F40" s="495"/>
      <c r="G40" s="495"/>
      <c r="H40" s="495"/>
      <c r="I40" s="495"/>
      <c r="J40" s="495"/>
      <c r="K40" s="495"/>
      <c r="L40" s="543"/>
      <c r="M40" s="649"/>
      <c r="N40" s="495"/>
      <c r="O40" s="495"/>
      <c r="P40" s="495"/>
      <c r="Q40" s="650"/>
      <c r="R40" s="544"/>
      <c r="S40" s="469"/>
    </row>
    <row r="41" spans="1:19" s="8" customFormat="1" ht="14.4" x14ac:dyDescent="0.2">
      <c r="A41" s="437" t="s">
        <v>64</v>
      </c>
      <c r="B41" s="439" t="s">
        <v>65</v>
      </c>
      <c r="C41" s="655" t="s">
        <v>66</v>
      </c>
      <c r="D41" s="441">
        <f t="shared" ref="D41:R41" si="18">SUM(D42+D47+D52+D58+D66+D71+D73+D77+D83+D85)</f>
        <v>178620000</v>
      </c>
      <c r="E41" s="441">
        <f t="shared" si="18"/>
        <v>0</v>
      </c>
      <c r="F41" s="441">
        <f t="shared" si="18"/>
        <v>775000</v>
      </c>
      <c r="G41" s="441">
        <f t="shared" si="18"/>
        <v>0</v>
      </c>
      <c r="H41" s="441">
        <f t="shared" si="18"/>
        <v>0</v>
      </c>
      <c r="I41" s="441">
        <f t="shared" si="18"/>
        <v>0</v>
      </c>
      <c r="J41" s="441">
        <f t="shared" si="18"/>
        <v>0</v>
      </c>
      <c r="K41" s="441">
        <f t="shared" si="18"/>
        <v>775000</v>
      </c>
      <c r="L41" s="510">
        <f t="shared" si="18"/>
        <v>179395000</v>
      </c>
      <c r="M41" s="530">
        <v>20986230</v>
      </c>
      <c r="N41" s="441">
        <v>4352625</v>
      </c>
      <c r="O41" s="441">
        <v>1460083.1600000001</v>
      </c>
      <c r="P41" s="441">
        <f t="shared" si="18"/>
        <v>8637235.7300000004</v>
      </c>
      <c r="Q41" s="531">
        <f t="shared" si="18"/>
        <v>35436173.890000001</v>
      </c>
      <c r="R41" s="518">
        <f t="shared" si="18"/>
        <v>143958826.11000001</v>
      </c>
      <c r="S41" s="467">
        <f t="shared" si="2"/>
        <v>0.19753155823740906</v>
      </c>
    </row>
    <row r="42" spans="1:19" s="8" customFormat="1" ht="14.4" hidden="1" x14ac:dyDescent="0.2">
      <c r="A42" s="432" t="s">
        <v>64</v>
      </c>
      <c r="B42" s="420" t="s">
        <v>311</v>
      </c>
      <c r="C42" s="654" t="s">
        <v>312</v>
      </c>
      <c r="D42" s="422">
        <f t="shared" ref="D42:R42" si="19">SUM(D43:D46)</f>
        <v>0</v>
      </c>
      <c r="E42" s="422">
        <f t="shared" si="19"/>
        <v>0</v>
      </c>
      <c r="F42" s="422">
        <f t="shared" si="19"/>
        <v>0</v>
      </c>
      <c r="G42" s="422">
        <f t="shared" si="19"/>
        <v>0</v>
      </c>
      <c r="H42" s="422">
        <f t="shared" si="19"/>
        <v>0</v>
      </c>
      <c r="I42" s="422">
        <f t="shared" si="19"/>
        <v>0</v>
      </c>
      <c r="J42" s="422">
        <f t="shared" si="19"/>
        <v>0</v>
      </c>
      <c r="K42" s="422">
        <f t="shared" si="19"/>
        <v>0</v>
      </c>
      <c r="L42" s="507">
        <f t="shared" si="19"/>
        <v>0</v>
      </c>
      <c r="M42" s="524">
        <v>0</v>
      </c>
      <c r="N42" s="422">
        <v>0</v>
      </c>
      <c r="O42" s="422">
        <v>0</v>
      </c>
      <c r="P42" s="422">
        <f t="shared" si="19"/>
        <v>0</v>
      </c>
      <c r="Q42" s="525">
        <f t="shared" si="19"/>
        <v>0</v>
      </c>
      <c r="R42" s="515">
        <f t="shared" si="19"/>
        <v>0</v>
      </c>
      <c r="S42" s="468" t="e">
        <f t="shared" si="2"/>
        <v>#DIV/0!</v>
      </c>
    </row>
    <row r="43" spans="1:19" s="7" customFormat="1" ht="28.8" hidden="1" x14ac:dyDescent="0.2">
      <c r="A43" s="472" t="s">
        <v>64</v>
      </c>
      <c r="B43" s="423" t="s">
        <v>313</v>
      </c>
      <c r="C43" s="424" t="s">
        <v>67</v>
      </c>
      <c r="D43" s="425"/>
      <c r="E43" s="425">
        <v>0</v>
      </c>
      <c r="F43" s="425">
        <v>0</v>
      </c>
      <c r="G43" s="425">
        <v>0</v>
      </c>
      <c r="H43" s="425">
        <v>0</v>
      </c>
      <c r="I43" s="425">
        <v>0</v>
      </c>
      <c r="J43" s="425">
        <v>0</v>
      </c>
      <c r="K43" s="425">
        <f>SUM(E43:J43)</f>
        <v>0</v>
      </c>
      <c r="L43" s="508">
        <f>D43+K43</f>
        <v>0</v>
      </c>
      <c r="M43" s="526">
        <v>0</v>
      </c>
      <c r="N43" s="425">
        <v>0</v>
      </c>
      <c r="O43" s="425">
        <v>0</v>
      </c>
      <c r="P43" s="425">
        <v>0</v>
      </c>
      <c r="Q43" s="527">
        <v>0</v>
      </c>
      <c r="R43" s="516">
        <f t="shared" ref="R43:R46" si="20">L43-Q43</f>
        <v>0</v>
      </c>
      <c r="S43" s="469" t="e">
        <f t="shared" si="2"/>
        <v>#DIV/0!</v>
      </c>
    </row>
    <row r="44" spans="1:19" s="7" customFormat="1" ht="28.8" hidden="1" x14ac:dyDescent="0.2">
      <c r="A44" s="472" t="s">
        <v>64</v>
      </c>
      <c r="B44" s="423" t="s">
        <v>314</v>
      </c>
      <c r="C44" s="424" t="s">
        <v>315</v>
      </c>
      <c r="D44" s="425"/>
      <c r="E44" s="425">
        <v>0</v>
      </c>
      <c r="F44" s="425">
        <v>0</v>
      </c>
      <c r="G44" s="425">
        <v>0</v>
      </c>
      <c r="H44" s="425">
        <v>0</v>
      </c>
      <c r="I44" s="425">
        <v>0</v>
      </c>
      <c r="J44" s="425">
        <v>0</v>
      </c>
      <c r="K44" s="425">
        <f>SUM(E44:J44)</f>
        <v>0</v>
      </c>
      <c r="L44" s="508">
        <f>D44+K44</f>
        <v>0</v>
      </c>
      <c r="M44" s="526">
        <v>0</v>
      </c>
      <c r="N44" s="425">
        <v>0</v>
      </c>
      <c r="O44" s="425">
        <v>0</v>
      </c>
      <c r="P44" s="425">
        <v>0</v>
      </c>
      <c r="Q44" s="527">
        <v>0</v>
      </c>
      <c r="R44" s="516">
        <f t="shared" si="20"/>
        <v>0</v>
      </c>
      <c r="S44" s="469" t="e">
        <f t="shared" si="2"/>
        <v>#DIV/0!</v>
      </c>
    </row>
    <row r="45" spans="1:19" s="7" customFormat="1" ht="28.8" hidden="1" x14ac:dyDescent="0.2">
      <c r="A45" s="472" t="s">
        <v>64</v>
      </c>
      <c r="B45" s="423" t="s">
        <v>316</v>
      </c>
      <c r="C45" s="424" t="s">
        <v>317</v>
      </c>
      <c r="D45" s="425"/>
      <c r="E45" s="425">
        <v>0</v>
      </c>
      <c r="F45" s="425">
        <v>0</v>
      </c>
      <c r="G45" s="425">
        <v>0</v>
      </c>
      <c r="H45" s="425">
        <v>0</v>
      </c>
      <c r="I45" s="425">
        <v>0</v>
      </c>
      <c r="J45" s="425">
        <v>0</v>
      </c>
      <c r="K45" s="425">
        <f>SUM(E45:J45)</f>
        <v>0</v>
      </c>
      <c r="L45" s="508">
        <f>D45+K45</f>
        <v>0</v>
      </c>
      <c r="M45" s="526">
        <v>0</v>
      </c>
      <c r="N45" s="425">
        <v>0</v>
      </c>
      <c r="O45" s="425">
        <v>0</v>
      </c>
      <c r="P45" s="425">
        <v>0</v>
      </c>
      <c r="Q45" s="527">
        <v>0</v>
      </c>
      <c r="R45" s="516">
        <f t="shared" si="20"/>
        <v>0</v>
      </c>
      <c r="S45" s="469" t="e">
        <f t="shared" si="2"/>
        <v>#DIV/0!</v>
      </c>
    </row>
    <row r="46" spans="1:19" s="7" customFormat="1" ht="14.4" hidden="1" x14ac:dyDescent="0.2">
      <c r="A46" s="472" t="s">
        <v>64</v>
      </c>
      <c r="B46" s="423" t="s">
        <v>318</v>
      </c>
      <c r="C46" s="424" t="s">
        <v>68</v>
      </c>
      <c r="D46" s="425"/>
      <c r="E46" s="425">
        <v>0</v>
      </c>
      <c r="F46" s="425">
        <v>0</v>
      </c>
      <c r="G46" s="425">
        <v>0</v>
      </c>
      <c r="H46" s="425">
        <v>0</v>
      </c>
      <c r="I46" s="425">
        <v>0</v>
      </c>
      <c r="J46" s="425">
        <v>0</v>
      </c>
      <c r="K46" s="425">
        <f>SUM(E46:J46)</f>
        <v>0</v>
      </c>
      <c r="L46" s="508">
        <f>D46+K46</f>
        <v>0</v>
      </c>
      <c r="M46" s="526">
        <v>0</v>
      </c>
      <c r="N46" s="425">
        <v>0</v>
      </c>
      <c r="O46" s="425">
        <v>0</v>
      </c>
      <c r="P46" s="425">
        <v>0</v>
      </c>
      <c r="Q46" s="527">
        <v>0</v>
      </c>
      <c r="R46" s="516">
        <f t="shared" si="20"/>
        <v>0</v>
      </c>
      <c r="S46" s="469" t="e">
        <f t="shared" si="2"/>
        <v>#DIV/0!</v>
      </c>
    </row>
    <row r="47" spans="1:19" s="8" customFormat="1" ht="14.4" hidden="1" x14ac:dyDescent="0.2">
      <c r="A47" s="432" t="s">
        <v>64</v>
      </c>
      <c r="B47" s="420" t="s">
        <v>319</v>
      </c>
      <c r="C47" s="654" t="s">
        <v>320</v>
      </c>
      <c r="D47" s="422">
        <f t="shared" ref="D47:R47" si="21">SUM(D48:D51)</f>
        <v>0</v>
      </c>
      <c r="E47" s="422">
        <f t="shared" si="21"/>
        <v>0</v>
      </c>
      <c r="F47" s="422">
        <f t="shared" si="21"/>
        <v>0</v>
      </c>
      <c r="G47" s="422">
        <f t="shared" si="21"/>
        <v>0</v>
      </c>
      <c r="H47" s="422">
        <f t="shared" si="21"/>
        <v>0</v>
      </c>
      <c r="I47" s="422">
        <f t="shared" si="21"/>
        <v>0</v>
      </c>
      <c r="J47" s="422">
        <f t="shared" si="21"/>
        <v>0</v>
      </c>
      <c r="K47" s="422">
        <f t="shared" si="21"/>
        <v>0</v>
      </c>
      <c r="L47" s="507">
        <f t="shared" si="21"/>
        <v>0</v>
      </c>
      <c r="M47" s="524">
        <v>0</v>
      </c>
      <c r="N47" s="422">
        <v>0</v>
      </c>
      <c r="O47" s="422">
        <v>0</v>
      </c>
      <c r="P47" s="422">
        <f t="shared" si="21"/>
        <v>0</v>
      </c>
      <c r="Q47" s="525">
        <f t="shared" si="21"/>
        <v>0</v>
      </c>
      <c r="R47" s="515">
        <f t="shared" si="21"/>
        <v>0</v>
      </c>
      <c r="S47" s="468" t="e">
        <f t="shared" si="2"/>
        <v>#DIV/0!</v>
      </c>
    </row>
    <row r="48" spans="1:19" s="8" customFormat="1" ht="28.8" hidden="1" x14ac:dyDescent="0.2">
      <c r="A48" s="472" t="s">
        <v>64</v>
      </c>
      <c r="B48" s="423" t="s">
        <v>321</v>
      </c>
      <c r="C48" s="424" t="s">
        <v>69</v>
      </c>
      <c r="D48" s="425"/>
      <c r="E48" s="425">
        <v>0</v>
      </c>
      <c r="F48" s="425">
        <v>0</v>
      </c>
      <c r="G48" s="425">
        <v>0</v>
      </c>
      <c r="H48" s="425">
        <v>0</v>
      </c>
      <c r="I48" s="425">
        <v>0</v>
      </c>
      <c r="J48" s="425">
        <v>0</v>
      </c>
      <c r="K48" s="425">
        <f>SUM(E48:J48)</f>
        <v>0</v>
      </c>
      <c r="L48" s="508">
        <f>D48+K48</f>
        <v>0</v>
      </c>
      <c r="M48" s="526">
        <v>0</v>
      </c>
      <c r="N48" s="425">
        <v>0</v>
      </c>
      <c r="O48" s="425">
        <v>0</v>
      </c>
      <c r="P48" s="425">
        <v>0</v>
      </c>
      <c r="Q48" s="527">
        <v>0</v>
      </c>
      <c r="R48" s="516">
        <f t="shared" ref="R48:R51" si="22">L48-Q48</f>
        <v>0</v>
      </c>
      <c r="S48" s="469" t="e">
        <f t="shared" si="2"/>
        <v>#DIV/0!</v>
      </c>
    </row>
    <row r="49" spans="1:19" s="7" customFormat="1" ht="14.4" hidden="1" x14ac:dyDescent="0.2">
      <c r="A49" s="472" t="s">
        <v>64</v>
      </c>
      <c r="B49" s="423" t="s">
        <v>322</v>
      </c>
      <c r="C49" s="424" t="s">
        <v>70</v>
      </c>
      <c r="D49" s="425"/>
      <c r="E49" s="425">
        <v>0</v>
      </c>
      <c r="F49" s="425">
        <v>0</v>
      </c>
      <c r="G49" s="425">
        <v>0</v>
      </c>
      <c r="H49" s="425">
        <v>0</v>
      </c>
      <c r="I49" s="425">
        <v>0</v>
      </c>
      <c r="J49" s="425">
        <v>0</v>
      </c>
      <c r="K49" s="425">
        <f>SUM(E49:J49)</f>
        <v>0</v>
      </c>
      <c r="L49" s="508">
        <f>D49+K49</f>
        <v>0</v>
      </c>
      <c r="M49" s="526">
        <v>0</v>
      </c>
      <c r="N49" s="425">
        <v>0</v>
      </c>
      <c r="O49" s="425">
        <v>0</v>
      </c>
      <c r="P49" s="425">
        <v>0</v>
      </c>
      <c r="Q49" s="527">
        <v>0</v>
      </c>
      <c r="R49" s="516">
        <f t="shared" si="22"/>
        <v>0</v>
      </c>
      <c r="S49" s="469" t="e">
        <f t="shared" si="2"/>
        <v>#DIV/0!</v>
      </c>
    </row>
    <row r="50" spans="1:19" s="7" customFormat="1" ht="28.8" hidden="1" x14ac:dyDescent="0.2">
      <c r="A50" s="472" t="s">
        <v>64</v>
      </c>
      <c r="B50" s="423" t="s">
        <v>323</v>
      </c>
      <c r="C50" s="424" t="s">
        <v>71</v>
      </c>
      <c r="D50" s="425"/>
      <c r="E50" s="425">
        <v>0</v>
      </c>
      <c r="F50" s="425">
        <v>0</v>
      </c>
      <c r="G50" s="425">
        <v>0</v>
      </c>
      <c r="H50" s="425">
        <v>0</v>
      </c>
      <c r="I50" s="425">
        <v>0</v>
      </c>
      <c r="J50" s="425">
        <v>0</v>
      </c>
      <c r="K50" s="425">
        <f>SUM(E50:J50)</f>
        <v>0</v>
      </c>
      <c r="L50" s="508">
        <f>D50+K50</f>
        <v>0</v>
      </c>
      <c r="M50" s="526">
        <v>0</v>
      </c>
      <c r="N50" s="425">
        <v>0</v>
      </c>
      <c r="O50" s="425">
        <v>0</v>
      </c>
      <c r="P50" s="425">
        <v>0</v>
      </c>
      <c r="Q50" s="527">
        <v>0</v>
      </c>
      <c r="R50" s="516">
        <f t="shared" si="22"/>
        <v>0</v>
      </c>
      <c r="S50" s="469" t="e">
        <f t="shared" si="2"/>
        <v>#DIV/0!</v>
      </c>
    </row>
    <row r="51" spans="1:19" s="7" customFormat="1" ht="14.4" hidden="1" x14ac:dyDescent="0.2">
      <c r="A51" s="472" t="s">
        <v>64</v>
      </c>
      <c r="B51" s="423" t="s">
        <v>324</v>
      </c>
      <c r="C51" s="424" t="s">
        <v>72</v>
      </c>
      <c r="D51" s="425"/>
      <c r="E51" s="425">
        <v>0</v>
      </c>
      <c r="F51" s="425">
        <v>0</v>
      </c>
      <c r="G51" s="425">
        <v>0</v>
      </c>
      <c r="H51" s="425">
        <v>0</v>
      </c>
      <c r="I51" s="425">
        <v>0</v>
      </c>
      <c r="J51" s="425">
        <v>0</v>
      </c>
      <c r="K51" s="425">
        <f>SUM(E51:J51)</f>
        <v>0</v>
      </c>
      <c r="L51" s="508">
        <f>D51+K51</f>
        <v>0</v>
      </c>
      <c r="M51" s="526">
        <v>0</v>
      </c>
      <c r="N51" s="425">
        <v>0</v>
      </c>
      <c r="O51" s="425">
        <v>0</v>
      </c>
      <c r="P51" s="425">
        <v>0</v>
      </c>
      <c r="Q51" s="527">
        <v>0</v>
      </c>
      <c r="R51" s="516">
        <f t="shared" si="22"/>
        <v>0</v>
      </c>
      <c r="S51" s="469" t="e">
        <f t="shared" si="2"/>
        <v>#DIV/0!</v>
      </c>
    </row>
    <row r="52" spans="1:19" s="8" customFormat="1" ht="28.8" x14ac:dyDescent="0.2">
      <c r="A52" s="432" t="s">
        <v>64</v>
      </c>
      <c r="B52" s="420" t="s">
        <v>325</v>
      </c>
      <c r="C52" s="654" t="s">
        <v>326</v>
      </c>
      <c r="D52" s="422">
        <f t="shared" ref="D52:R52" si="23">SUM(D53:D57)</f>
        <v>3500000</v>
      </c>
      <c r="E52" s="422">
        <f t="shared" si="23"/>
        <v>0</v>
      </c>
      <c r="F52" s="422">
        <f t="shared" si="23"/>
        <v>0</v>
      </c>
      <c r="G52" s="422">
        <f t="shared" si="23"/>
        <v>0</v>
      </c>
      <c r="H52" s="422">
        <f t="shared" si="23"/>
        <v>0</v>
      </c>
      <c r="I52" s="422">
        <f t="shared" si="23"/>
        <v>0</v>
      </c>
      <c r="J52" s="422">
        <f t="shared" si="23"/>
        <v>0</v>
      </c>
      <c r="K52" s="422">
        <f t="shared" si="23"/>
        <v>0</v>
      </c>
      <c r="L52" s="507">
        <f t="shared" si="23"/>
        <v>3500000</v>
      </c>
      <c r="M52" s="524">
        <v>0</v>
      </c>
      <c r="N52" s="422">
        <v>0</v>
      </c>
      <c r="O52" s="422">
        <v>0</v>
      </c>
      <c r="P52" s="422">
        <f t="shared" si="23"/>
        <v>0</v>
      </c>
      <c r="Q52" s="525">
        <f t="shared" si="23"/>
        <v>0</v>
      </c>
      <c r="R52" s="515">
        <f t="shared" si="23"/>
        <v>3500000</v>
      </c>
      <c r="S52" s="468">
        <f t="shared" si="2"/>
        <v>0</v>
      </c>
    </row>
    <row r="53" spans="1:19" s="7" customFormat="1" ht="14.4" x14ac:dyDescent="0.2">
      <c r="A53" s="472" t="s">
        <v>64</v>
      </c>
      <c r="B53" s="423" t="s">
        <v>327</v>
      </c>
      <c r="C53" s="424" t="s">
        <v>73</v>
      </c>
      <c r="D53" s="425">
        <v>1500000</v>
      </c>
      <c r="E53" s="425">
        <v>0</v>
      </c>
      <c r="F53" s="425">
        <v>0</v>
      </c>
      <c r="G53" s="425">
        <v>0</v>
      </c>
      <c r="H53" s="425">
        <v>0</v>
      </c>
      <c r="I53" s="425">
        <v>0</v>
      </c>
      <c r="J53" s="425">
        <v>0</v>
      </c>
      <c r="K53" s="425">
        <f>SUM(E53:J53)</f>
        <v>0</v>
      </c>
      <c r="L53" s="508">
        <f>D53+K53</f>
        <v>1500000</v>
      </c>
      <c r="M53" s="526">
        <v>0</v>
      </c>
      <c r="N53" s="425">
        <v>0</v>
      </c>
      <c r="O53" s="425">
        <v>0</v>
      </c>
      <c r="P53" s="425">
        <f t="shared" ref="P53:P54" si="24">Q53-M53-N53-O53</f>
        <v>0</v>
      </c>
      <c r="Q53" s="527">
        <v>0</v>
      </c>
      <c r="R53" s="516">
        <f t="shared" ref="R53:R57" si="25">L53-Q53</f>
        <v>1500000</v>
      </c>
      <c r="S53" s="469">
        <f t="shared" si="2"/>
        <v>0</v>
      </c>
    </row>
    <row r="54" spans="1:19" s="8" customFormat="1" ht="28.8" x14ac:dyDescent="0.2">
      <c r="A54" s="472" t="s">
        <v>64</v>
      </c>
      <c r="B54" s="423" t="s">
        <v>328</v>
      </c>
      <c r="C54" s="424" t="s">
        <v>74</v>
      </c>
      <c r="D54" s="425">
        <v>2000000</v>
      </c>
      <c r="E54" s="425">
        <v>0</v>
      </c>
      <c r="F54" s="425">
        <v>0</v>
      </c>
      <c r="G54" s="425">
        <v>0</v>
      </c>
      <c r="H54" s="425">
        <v>0</v>
      </c>
      <c r="I54" s="425">
        <v>0</v>
      </c>
      <c r="J54" s="425">
        <v>0</v>
      </c>
      <c r="K54" s="425">
        <f>SUM(E54:J54)</f>
        <v>0</v>
      </c>
      <c r="L54" s="508">
        <f>D54+K54</f>
        <v>2000000</v>
      </c>
      <c r="M54" s="526">
        <v>0</v>
      </c>
      <c r="N54" s="425">
        <v>0</v>
      </c>
      <c r="O54" s="425">
        <v>0</v>
      </c>
      <c r="P54" s="425">
        <f t="shared" si="24"/>
        <v>0</v>
      </c>
      <c r="Q54" s="527">
        <v>0</v>
      </c>
      <c r="R54" s="516">
        <f t="shared" si="25"/>
        <v>2000000</v>
      </c>
      <c r="S54" s="469">
        <f t="shared" si="2"/>
        <v>0</v>
      </c>
    </row>
    <row r="55" spans="1:19" s="8" customFormat="1" ht="14.4" hidden="1" x14ac:dyDescent="0.2">
      <c r="A55" s="472" t="s">
        <v>64</v>
      </c>
      <c r="B55" s="423" t="s">
        <v>329</v>
      </c>
      <c r="C55" s="424" t="s">
        <v>75</v>
      </c>
      <c r="D55" s="425"/>
      <c r="E55" s="425">
        <v>0</v>
      </c>
      <c r="F55" s="425">
        <v>0</v>
      </c>
      <c r="G55" s="425">
        <v>0</v>
      </c>
      <c r="H55" s="425">
        <v>0</v>
      </c>
      <c r="I55" s="425">
        <v>0</v>
      </c>
      <c r="J55" s="425">
        <v>0</v>
      </c>
      <c r="K55" s="425">
        <f>SUM(E55:J55)</f>
        <v>0</v>
      </c>
      <c r="L55" s="508">
        <f>D55+K55</f>
        <v>0</v>
      </c>
      <c r="M55" s="526">
        <v>0</v>
      </c>
      <c r="N55" s="425">
        <v>0</v>
      </c>
      <c r="O55" s="425">
        <v>0</v>
      </c>
      <c r="P55" s="425">
        <v>0</v>
      </c>
      <c r="Q55" s="527">
        <v>0</v>
      </c>
      <c r="R55" s="516">
        <f t="shared" si="25"/>
        <v>0</v>
      </c>
      <c r="S55" s="469" t="e">
        <f t="shared" si="2"/>
        <v>#DIV/0!</v>
      </c>
    </row>
    <row r="56" spans="1:19" s="7" customFormat="1" ht="28.8" hidden="1" x14ac:dyDescent="0.2">
      <c r="A56" s="472" t="s">
        <v>64</v>
      </c>
      <c r="B56" s="423" t="s">
        <v>330</v>
      </c>
      <c r="C56" s="424" t="s">
        <v>462</v>
      </c>
      <c r="D56" s="425"/>
      <c r="E56" s="425">
        <v>0</v>
      </c>
      <c r="F56" s="425">
        <v>0</v>
      </c>
      <c r="G56" s="425">
        <v>0</v>
      </c>
      <c r="H56" s="425">
        <v>0</v>
      </c>
      <c r="I56" s="425">
        <v>0</v>
      </c>
      <c r="J56" s="425">
        <v>0</v>
      </c>
      <c r="K56" s="425">
        <f>SUM(E56:J56)</f>
        <v>0</v>
      </c>
      <c r="L56" s="508">
        <f>D56+K56</f>
        <v>0</v>
      </c>
      <c r="M56" s="526">
        <v>0</v>
      </c>
      <c r="N56" s="425">
        <v>0</v>
      </c>
      <c r="O56" s="425">
        <v>0</v>
      </c>
      <c r="P56" s="425">
        <v>0</v>
      </c>
      <c r="Q56" s="527">
        <v>0</v>
      </c>
      <c r="R56" s="516">
        <f t="shared" si="25"/>
        <v>0</v>
      </c>
      <c r="S56" s="469" t="e">
        <f t="shared" si="2"/>
        <v>#DIV/0!</v>
      </c>
    </row>
    <row r="57" spans="1:19" s="7" customFormat="1" ht="28.8" hidden="1" x14ac:dyDescent="0.2">
      <c r="A57" s="472" t="s">
        <v>64</v>
      </c>
      <c r="B57" s="423" t="s">
        <v>331</v>
      </c>
      <c r="C57" s="424" t="s">
        <v>463</v>
      </c>
      <c r="D57" s="425"/>
      <c r="E57" s="425">
        <v>0</v>
      </c>
      <c r="F57" s="425">
        <v>0</v>
      </c>
      <c r="G57" s="425">
        <v>0</v>
      </c>
      <c r="H57" s="425">
        <v>0</v>
      </c>
      <c r="I57" s="425">
        <v>0</v>
      </c>
      <c r="J57" s="425">
        <v>0</v>
      </c>
      <c r="K57" s="425">
        <f>SUM(E57:J57)</f>
        <v>0</v>
      </c>
      <c r="L57" s="508">
        <f>D57+K57</f>
        <v>0</v>
      </c>
      <c r="M57" s="526">
        <v>0</v>
      </c>
      <c r="N57" s="425">
        <v>0</v>
      </c>
      <c r="O57" s="425">
        <v>0</v>
      </c>
      <c r="P57" s="425">
        <v>0</v>
      </c>
      <c r="Q57" s="527">
        <v>0</v>
      </c>
      <c r="R57" s="516">
        <f t="shared" si="25"/>
        <v>0</v>
      </c>
      <c r="S57" s="469" t="e">
        <f t="shared" si="2"/>
        <v>#DIV/0!</v>
      </c>
    </row>
    <row r="58" spans="1:19" s="8" customFormat="1" ht="28.8" x14ac:dyDescent="0.2">
      <c r="A58" s="432" t="s">
        <v>64</v>
      </c>
      <c r="B58" s="420" t="s">
        <v>332</v>
      </c>
      <c r="C58" s="654" t="s">
        <v>333</v>
      </c>
      <c r="D58" s="422">
        <f t="shared" ref="D58:R58" si="26">SUM(D59:D65)</f>
        <v>16900000</v>
      </c>
      <c r="E58" s="422">
        <f t="shared" si="26"/>
        <v>0</v>
      </c>
      <c r="F58" s="422">
        <f t="shared" si="26"/>
        <v>-5200000</v>
      </c>
      <c r="G58" s="422">
        <f t="shared" si="26"/>
        <v>0</v>
      </c>
      <c r="H58" s="422">
        <f t="shared" si="26"/>
        <v>0</v>
      </c>
      <c r="I58" s="422">
        <f t="shared" si="26"/>
        <v>0</v>
      </c>
      <c r="J58" s="422">
        <f t="shared" si="26"/>
        <v>0</v>
      </c>
      <c r="K58" s="422">
        <f t="shared" si="26"/>
        <v>-5200000</v>
      </c>
      <c r="L58" s="507">
        <f t="shared" si="26"/>
        <v>11700000</v>
      </c>
      <c r="M58" s="524">
        <v>0</v>
      </c>
      <c r="N58" s="422">
        <v>0</v>
      </c>
      <c r="O58" s="422">
        <v>0</v>
      </c>
      <c r="P58" s="422">
        <f t="shared" si="26"/>
        <v>0</v>
      </c>
      <c r="Q58" s="525">
        <f t="shared" si="26"/>
        <v>0</v>
      </c>
      <c r="R58" s="515">
        <f t="shared" si="26"/>
        <v>11700000</v>
      </c>
      <c r="S58" s="468">
        <f t="shared" si="2"/>
        <v>0</v>
      </c>
    </row>
    <row r="59" spans="1:19" s="7" customFormat="1" ht="28.8" hidden="1" x14ac:dyDescent="0.2">
      <c r="A59" s="472" t="s">
        <v>64</v>
      </c>
      <c r="B59" s="423" t="s">
        <v>334</v>
      </c>
      <c r="C59" s="424" t="s">
        <v>335</v>
      </c>
      <c r="D59" s="425"/>
      <c r="E59" s="425">
        <v>0</v>
      </c>
      <c r="F59" s="425">
        <v>0</v>
      </c>
      <c r="G59" s="425">
        <v>0</v>
      </c>
      <c r="H59" s="425">
        <v>0</v>
      </c>
      <c r="I59" s="425">
        <v>0</v>
      </c>
      <c r="J59" s="425">
        <v>0</v>
      </c>
      <c r="K59" s="425">
        <f t="shared" ref="K59:K65" si="27">SUM(E59:J59)</f>
        <v>0</v>
      </c>
      <c r="L59" s="508">
        <f t="shared" ref="L59:L65" si="28">D59+K59</f>
        <v>0</v>
      </c>
      <c r="M59" s="526">
        <v>0</v>
      </c>
      <c r="N59" s="425">
        <v>0</v>
      </c>
      <c r="O59" s="425">
        <v>0</v>
      </c>
      <c r="P59" s="425">
        <v>0</v>
      </c>
      <c r="Q59" s="527">
        <v>0</v>
      </c>
      <c r="R59" s="516">
        <f t="shared" ref="R59:R65" si="29">L59-Q59</f>
        <v>0</v>
      </c>
      <c r="S59" s="469" t="e">
        <f t="shared" si="2"/>
        <v>#DIV/0!</v>
      </c>
    </row>
    <row r="60" spans="1:19" s="7" customFormat="1" ht="14.4" hidden="1" x14ac:dyDescent="0.2">
      <c r="A60" s="472" t="s">
        <v>64</v>
      </c>
      <c r="B60" s="423" t="s">
        <v>336</v>
      </c>
      <c r="C60" s="424" t="s">
        <v>76</v>
      </c>
      <c r="D60" s="425"/>
      <c r="E60" s="425">
        <v>0</v>
      </c>
      <c r="F60" s="425">
        <v>0</v>
      </c>
      <c r="G60" s="425">
        <v>0</v>
      </c>
      <c r="H60" s="425">
        <v>0</v>
      </c>
      <c r="I60" s="425">
        <v>0</v>
      </c>
      <c r="J60" s="425">
        <v>0</v>
      </c>
      <c r="K60" s="425">
        <f t="shared" si="27"/>
        <v>0</v>
      </c>
      <c r="L60" s="508">
        <f t="shared" si="28"/>
        <v>0</v>
      </c>
      <c r="M60" s="526">
        <v>0</v>
      </c>
      <c r="N60" s="425">
        <v>0</v>
      </c>
      <c r="O60" s="425">
        <v>0</v>
      </c>
      <c r="P60" s="425">
        <v>0</v>
      </c>
      <c r="Q60" s="527">
        <v>0</v>
      </c>
      <c r="R60" s="516">
        <f t="shared" si="29"/>
        <v>0</v>
      </c>
      <c r="S60" s="469" t="e">
        <f t="shared" si="2"/>
        <v>#DIV/0!</v>
      </c>
    </row>
    <row r="61" spans="1:19" s="7" customFormat="1" ht="28.8" hidden="1" x14ac:dyDescent="0.2">
      <c r="A61" s="472" t="s">
        <v>64</v>
      </c>
      <c r="B61" s="423" t="s">
        <v>337</v>
      </c>
      <c r="C61" s="424" t="s">
        <v>77</v>
      </c>
      <c r="D61" s="425"/>
      <c r="E61" s="425">
        <v>0</v>
      </c>
      <c r="F61" s="425">
        <v>0</v>
      </c>
      <c r="G61" s="425">
        <v>0</v>
      </c>
      <c r="H61" s="425">
        <v>0</v>
      </c>
      <c r="I61" s="425">
        <v>0</v>
      </c>
      <c r="J61" s="425">
        <v>0</v>
      </c>
      <c r="K61" s="425">
        <f t="shared" si="27"/>
        <v>0</v>
      </c>
      <c r="L61" s="508">
        <f t="shared" si="28"/>
        <v>0</v>
      </c>
      <c r="M61" s="526">
        <v>0</v>
      </c>
      <c r="N61" s="425">
        <v>0</v>
      </c>
      <c r="O61" s="425">
        <v>0</v>
      </c>
      <c r="P61" s="425">
        <v>0</v>
      </c>
      <c r="Q61" s="527">
        <v>0</v>
      </c>
      <c r="R61" s="516">
        <f t="shared" si="29"/>
        <v>0</v>
      </c>
      <c r="S61" s="469" t="e">
        <f t="shared" si="2"/>
        <v>#DIV/0!</v>
      </c>
    </row>
    <row r="62" spans="1:19" s="7" customFormat="1" ht="28.8" x14ac:dyDescent="0.2">
      <c r="A62" s="472" t="s">
        <v>64</v>
      </c>
      <c r="B62" s="423" t="s">
        <v>338</v>
      </c>
      <c r="C62" s="424" t="s">
        <v>339</v>
      </c>
      <c r="D62" s="425">
        <v>16900000</v>
      </c>
      <c r="E62" s="425">
        <v>0</v>
      </c>
      <c r="F62" s="425">
        <v>-5200000</v>
      </c>
      <c r="G62" s="425">
        <v>0</v>
      </c>
      <c r="H62" s="425">
        <v>0</v>
      </c>
      <c r="I62" s="425">
        <v>0</v>
      </c>
      <c r="J62" s="425">
        <v>0</v>
      </c>
      <c r="K62" s="425">
        <f t="shared" si="27"/>
        <v>-5200000</v>
      </c>
      <c r="L62" s="508">
        <f t="shared" si="28"/>
        <v>11700000</v>
      </c>
      <c r="M62" s="526">
        <v>0</v>
      </c>
      <c r="N62" s="425">
        <v>0</v>
      </c>
      <c r="O62" s="425">
        <v>0</v>
      </c>
      <c r="P62" s="425">
        <f>Q62-M62-N62-O62</f>
        <v>0</v>
      </c>
      <c r="Q62" s="527">
        <v>0</v>
      </c>
      <c r="R62" s="516">
        <f t="shared" si="29"/>
        <v>11700000</v>
      </c>
      <c r="S62" s="469">
        <f t="shared" si="2"/>
        <v>0</v>
      </c>
    </row>
    <row r="63" spans="1:19" s="7" customFormat="1" ht="28.8" hidden="1" x14ac:dyDescent="0.2">
      <c r="A63" s="472" t="s">
        <v>64</v>
      </c>
      <c r="B63" s="423" t="s">
        <v>340</v>
      </c>
      <c r="C63" s="424" t="s">
        <v>341</v>
      </c>
      <c r="D63" s="425"/>
      <c r="E63" s="425">
        <v>0</v>
      </c>
      <c r="F63" s="425">
        <v>0</v>
      </c>
      <c r="G63" s="425">
        <v>0</v>
      </c>
      <c r="H63" s="425">
        <v>0</v>
      </c>
      <c r="I63" s="425">
        <v>0</v>
      </c>
      <c r="J63" s="425">
        <v>0</v>
      </c>
      <c r="K63" s="425">
        <f t="shared" si="27"/>
        <v>0</v>
      </c>
      <c r="L63" s="508">
        <f t="shared" si="28"/>
        <v>0</v>
      </c>
      <c r="M63" s="526">
        <v>0</v>
      </c>
      <c r="N63" s="425">
        <v>0</v>
      </c>
      <c r="O63" s="425">
        <v>0</v>
      </c>
      <c r="P63" s="425">
        <v>0</v>
      </c>
      <c r="Q63" s="527">
        <v>0</v>
      </c>
      <c r="R63" s="516">
        <f t="shared" si="29"/>
        <v>0</v>
      </c>
      <c r="S63" s="469" t="e">
        <f t="shared" si="2"/>
        <v>#DIV/0!</v>
      </c>
    </row>
    <row r="64" spans="1:19" s="7" customFormat="1" ht="14.4" hidden="1" x14ac:dyDescent="0.2">
      <c r="A64" s="472" t="s">
        <v>64</v>
      </c>
      <c r="B64" s="423" t="s">
        <v>342</v>
      </c>
      <c r="C64" s="424" t="s">
        <v>78</v>
      </c>
      <c r="D64" s="425"/>
      <c r="E64" s="425">
        <v>0</v>
      </c>
      <c r="F64" s="425">
        <v>0</v>
      </c>
      <c r="G64" s="425">
        <v>0</v>
      </c>
      <c r="H64" s="425">
        <v>0</v>
      </c>
      <c r="I64" s="425">
        <v>0</v>
      </c>
      <c r="J64" s="425">
        <v>0</v>
      </c>
      <c r="K64" s="425">
        <f t="shared" si="27"/>
        <v>0</v>
      </c>
      <c r="L64" s="508">
        <f t="shared" si="28"/>
        <v>0</v>
      </c>
      <c r="M64" s="526">
        <v>0</v>
      </c>
      <c r="N64" s="425">
        <v>0</v>
      </c>
      <c r="O64" s="425">
        <v>0</v>
      </c>
      <c r="P64" s="425">
        <v>0</v>
      </c>
      <c r="Q64" s="527">
        <v>0</v>
      </c>
      <c r="R64" s="516">
        <f t="shared" si="29"/>
        <v>0</v>
      </c>
      <c r="S64" s="469" t="e">
        <f t="shared" si="2"/>
        <v>#DIV/0!</v>
      </c>
    </row>
    <row r="65" spans="1:19" s="7" customFormat="1" ht="28.8" hidden="1" x14ac:dyDescent="0.2">
      <c r="A65" s="472" t="s">
        <v>64</v>
      </c>
      <c r="B65" s="423" t="s">
        <v>343</v>
      </c>
      <c r="C65" s="424" t="s">
        <v>79</v>
      </c>
      <c r="D65" s="425"/>
      <c r="E65" s="425">
        <v>0</v>
      </c>
      <c r="F65" s="425">
        <v>0</v>
      </c>
      <c r="G65" s="425">
        <v>0</v>
      </c>
      <c r="H65" s="425">
        <v>0</v>
      </c>
      <c r="I65" s="425">
        <v>0</v>
      </c>
      <c r="J65" s="425">
        <v>0</v>
      </c>
      <c r="K65" s="425">
        <f t="shared" si="27"/>
        <v>0</v>
      </c>
      <c r="L65" s="508">
        <f t="shared" si="28"/>
        <v>0</v>
      </c>
      <c r="M65" s="526">
        <v>0</v>
      </c>
      <c r="N65" s="425">
        <v>0</v>
      </c>
      <c r="O65" s="425">
        <v>0</v>
      </c>
      <c r="P65" s="425">
        <v>0</v>
      </c>
      <c r="Q65" s="527">
        <v>0</v>
      </c>
      <c r="R65" s="516">
        <f t="shared" si="29"/>
        <v>0</v>
      </c>
      <c r="S65" s="469" t="e">
        <f t="shared" si="2"/>
        <v>#DIV/0!</v>
      </c>
    </row>
    <row r="66" spans="1:19" s="8" customFormat="1" ht="28.8" x14ac:dyDescent="0.2">
      <c r="A66" s="432" t="s">
        <v>64</v>
      </c>
      <c r="B66" s="420" t="s">
        <v>344</v>
      </c>
      <c r="C66" s="654" t="s">
        <v>345</v>
      </c>
      <c r="D66" s="422">
        <f t="shared" ref="D66:R66" si="30">SUM(D67:D70)</f>
        <v>43900000</v>
      </c>
      <c r="E66" s="422">
        <f t="shared" si="30"/>
        <v>0</v>
      </c>
      <c r="F66" s="422">
        <f t="shared" si="30"/>
        <v>-7995800</v>
      </c>
      <c r="G66" s="422">
        <f t="shared" si="30"/>
        <v>0</v>
      </c>
      <c r="H66" s="422">
        <f t="shared" si="30"/>
        <v>0</v>
      </c>
      <c r="I66" s="422">
        <f t="shared" si="30"/>
        <v>0</v>
      </c>
      <c r="J66" s="422">
        <f t="shared" si="30"/>
        <v>0</v>
      </c>
      <c r="K66" s="422">
        <f t="shared" si="30"/>
        <v>-7995800</v>
      </c>
      <c r="L66" s="507">
        <f t="shared" si="30"/>
        <v>35904200</v>
      </c>
      <c r="M66" s="524">
        <v>360800</v>
      </c>
      <c r="N66" s="422">
        <v>71400</v>
      </c>
      <c r="O66" s="422">
        <v>361600</v>
      </c>
      <c r="P66" s="422">
        <f t="shared" si="30"/>
        <v>526992</v>
      </c>
      <c r="Q66" s="525">
        <f t="shared" si="30"/>
        <v>1320792</v>
      </c>
      <c r="R66" s="515">
        <f t="shared" si="30"/>
        <v>34583408</v>
      </c>
      <c r="S66" s="468">
        <f t="shared" si="2"/>
        <v>3.6786559789662492E-2</v>
      </c>
    </row>
    <row r="67" spans="1:19" s="7" customFormat="1" ht="14.4" x14ac:dyDescent="0.2">
      <c r="A67" s="472" t="s">
        <v>64</v>
      </c>
      <c r="B67" s="423" t="s">
        <v>346</v>
      </c>
      <c r="C67" s="424" t="s">
        <v>80</v>
      </c>
      <c r="D67" s="425">
        <v>5200000</v>
      </c>
      <c r="E67" s="425">
        <v>0</v>
      </c>
      <c r="F67" s="425">
        <v>-1500000</v>
      </c>
      <c r="G67" s="425">
        <v>0</v>
      </c>
      <c r="H67" s="425">
        <v>0</v>
      </c>
      <c r="I67" s="425">
        <v>0</v>
      </c>
      <c r="J67" s="425">
        <v>0</v>
      </c>
      <c r="K67" s="425">
        <f>SUM(E67:J67)</f>
        <v>-1500000</v>
      </c>
      <c r="L67" s="508">
        <f>D67+K67</f>
        <v>3700000</v>
      </c>
      <c r="M67" s="526">
        <v>0</v>
      </c>
      <c r="N67" s="425">
        <v>0</v>
      </c>
      <c r="O67" s="425">
        <v>0</v>
      </c>
      <c r="P67" s="425">
        <f t="shared" ref="P67:P68" si="31">Q67-M67-N67-O67</f>
        <v>58800</v>
      </c>
      <c r="Q67" s="527">
        <v>58800</v>
      </c>
      <c r="R67" s="516">
        <f t="shared" ref="R67:R70" si="32">L67-Q67</f>
        <v>3641200</v>
      </c>
      <c r="S67" s="469">
        <f t="shared" si="2"/>
        <v>1.5891891891891892E-2</v>
      </c>
    </row>
    <row r="68" spans="1:19" s="7" customFormat="1" ht="14.4" x14ac:dyDescent="0.2">
      <c r="A68" s="472" t="s">
        <v>64</v>
      </c>
      <c r="B68" s="423" t="s">
        <v>347</v>
      </c>
      <c r="C68" s="424" t="s">
        <v>81</v>
      </c>
      <c r="D68" s="425">
        <v>38700000</v>
      </c>
      <c r="E68" s="425">
        <v>0</v>
      </c>
      <c r="F68" s="425">
        <v>-6495800</v>
      </c>
      <c r="G68" s="425">
        <v>0</v>
      </c>
      <c r="H68" s="425">
        <v>0</v>
      </c>
      <c r="I68" s="425">
        <v>0</v>
      </c>
      <c r="J68" s="425">
        <v>0</v>
      </c>
      <c r="K68" s="425">
        <f>SUM(E68:J68)</f>
        <v>-6495800</v>
      </c>
      <c r="L68" s="508">
        <f>D68+K68</f>
        <v>32204200</v>
      </c>
      <c r="M68" s="526">
        <v>360800</v>
      </c>
      <c r="N68" s="425">
        <v>71400</v>
      </c>
      <c r="O68" s="425">
        <v>361600</v>
      </c>
      <c r="P68" s="425">
        <f t="shared" si="31"/>
        <v>468192</v>
      </c>
      <c r="Q68" s="527">
        <v>1261992</v>
      </c>
      <c r="R68" s="516">
        <f t="shared" si="32"/>
        <v>30942208</v>
      </c>
      <c r="S68" s="469">
        <f t="shared" si="2"/>
        <v>3.9187186764459293E-2</v>
      </c>
    </row>
    <row r="69" spans="1:19" s="8" customFormat="1" ht="14.4" hidden="1" x14ac:dyDescent="0.2">
      <c r="A69" s="472" t="s">
        <v>64</v>
      </c>
      <c r="B69" s="423" t="s">
        <v>348</v>
      </c>
      <c r="C69" s="424" t="s">
        <v>349</v>
      </c>
      <c r="D69" s="425"/>
      <c r="E69" s="425">
        <v>0</v>
      </c>
      <c r="F69" s="425">
        <v>0</v>
      </c>
      <c r="G69" s="425">
        <v>0</v>
      </c>
      <c r="H69" s="425">
        <v>0</v>
      </c>
      <c r="I69" s="425">
        <v>0</v>
      </c>
      <c r="J69" s="425">
        <v>0</v>
      </c>
      <c r="K69" s="425">
        <f>SUM(E69:J69)</f>
        <v>0</v>
      </c>
      <c r="L69" s="508">
        <f>D69+K69</f>
        <v>0</v>
      </c>
      <c r="M69" s="526">
        <v>0</v>
      </c>
      <c r="N69" s="425">
        <v>0</v>
      </c>
      <c r="O69" s="425">
        <v>0</v>
      </c>
      <c r="P69" s="425">
        <v>0</v>
      </c>
      <c r="Q69" s="527">
        <v>0</v>
      </c>
      <c r="R69" s="516">
        <f t="shared" si="32"/>
        <v>0</v>
      </c>
      <c r="S69" s="469" t="e">
        <f t="shared" si="2"/>
        <v>#DIV/0!</v>
      </c>
    </row>
    <row r="70" spans="1:19" s="8" customFormat="1" ht="14.4" hidden="1" x14ac:dyDescent="0.2">
      <c r="A70" s="472" t="s">
        <v>64</v>
      </c>
      <c r="B70" s="423" t="s">
        <v>350</v>
      </c>
      <c r="C70" s="424" t="s">
        <v>351</v>
      </c>
      <c r="D70" s="425"/>
      <c r="E70" s="425">
        <v>0</v>
      </c>
      <c r="F70" s="425">
        <v>0</v>
      </c>
      <c r="G70" s="425">
        <v>0</v>
      </c>
      <c r="H70" s="425">
        <v>0</v>
      </c>
      <c r="I70" s="425">
        <v>0</v>
      </c>
      <c r="J70" s="425">
        <v>0</v>
      </c>
      <c r="K70" s="425">
        <f>SUM(E70:J70)</f>
        <v>0</v>
      </c>
      <c r="L70" s="508">
        <f>D70+K70</f>
        <v>0</v>
      </c>
      <c r="M70" s="526">
        <v>0</v>
      </c>
      <c r="N70" s="425">
        <v>0</v>
      </c>
      <c r="O70" s="425">
        <v>0</v>
      </c>
      <c r="P70" s="425">
        <v>0</v>
      </c>
      <c r="Q70" s="527">
        <v>0</v>
      </c>
      <c r="R70" s="516">
        <f t="shared" si="32"/>
        <v>0</v>
      </c>
      <c r="S70" s="469" t="e">
        <f t="shared" si="2"/>
        <v>#DIV/0!</v>
      </c>
    </row>
    <row r="71" spans="1:19" s="8" customFormat="1" ht="28.8" hidden="1" x14ac:dyDescent="0.2">
      <c r="A71" s="432" t="s">
        <v>64</v>
      </c>
      <c r="B71" s="420" t="s">
        <v>352</v>
      </c>
      <c r="C71" s="654" t="s">
        <v>466</v>
      </c>
      <c r="D71" s="422">
        <f t="shared" ref="D71:R71" si="33">SUM(D72)</f>
        <v>0</v>
      </c>
      <c r="E71" s="422">
        <f t="shared" si="33"/>
        <v>0</v>
      </c>
      <c r="F71" s="422">
        <f t="shared" si="33"/>
        <v>0</v>
      </c>
      <c r="G71" s="422">
        <f t="shared" si="33"/>
        <v>0</v>
      </c>
      <c r="H71" s="422">
        <f t="shared" si="33"/>
        <v>0</v>
      </c>
      <c r="I71" s="422">
        <f t="shared" si="33"/>
        <v>0</v>
      </c>
      <c r="J71" s="422">
        <f t="shared" si="33"/>
        <v>0</v>
      </c>
      <c r="K71" s="422">
        <f t="shared" si="33"/>
        <v>0</v>
      </c>
      <c r="L71" s="507">
        <f t="shared" si="33"/>
        <v>0</v>
      </c>
      <c r="M71" s="524">
        <v>0</v>
      </c>
      <c r="N71" s="422">
        <v>0</v>
      </c>
      <c r="O71" s="422">
        <v>0</v>
      </c>
      <c r="P71" s="422">
        <f t="shared" si="33"/>
        <v>0</v>
      </c>
      <c r="Q71" s="525">
        <f t="shared" si="33"/>
        <v>0</v>
      </c>
      <c r="R71" s="515">
        <f t="shared" si="33"/>
        <v>0</v>
      </c>
      <c r="S71" s="468" t="e">
        <f t="shared" si="2"/>
        <v>#DIV/0!</v>
      </c>
    </row>
    <row r="72" spans="1:19" s="7" customFormat="1" ht="14.4" hidden="1" x14ac:dyDescent="0.2">
      <c r="A72" s="472" t="s">
        <v>64</v>
      </c>
      <c r="B72" s="423" t="s">
        <v>353</v>
      </c>
      <c r="C72" s="424" t="s">
        <v>82</v>
      </c>
      <c r="D72" s="425"/>
      <c r="E72" s="425">
        <v>0</v>
      </c>
      <c r="F72" s="425">
        <v>0</v>
      </c>
      <c r="G72" s="425">
        <v>0</v>
      </c>
      <c r="H72" s="425">
        <v>0</v>
      </c>
      <c r="I72" s="425">
        <v>0</v>
      </c>
      <c r="J72" s="425">
        <v>0</v>
      </c>
      <c r="K72" s="425">
        <f>SUM(E72:J72)</f>
        <v>0</v>
      </c>
      <c r="L72" s="508">
        <f>D72+K72</f>
        <v>0</v>
      </c>
      <c r="M72" s="526">
        <v>0</v>
      </c>
      <c r="N72" s="425">
        <v>0</v>
      </c>
      <c r="O72" s="425">
        <v>0</v>
      </c>
      <c r="P72" s="425">
        <v>0</v>
      </c>
      <c r="Q72" s="527">
        <v>0</v>
      </c>
      <c r="R72" s="516">
        <f>L72-Q72</f>
        <v>0</v>
      </c>
      <c r="S72" s="469" t="e">
        <f t="shared" si="2"/>
        <v>#DIV/0!</v>
      </c>
    </row>
    <row r="73" spans="1:19" s="8" customFormat="1" ht="28.8" x14ac:dyDescent="0.2">
      <c r="A73" s="432" t="s">
        <v>64</v>
      </c>
      <c r="B73" s="420" t="s">
        <v>354</v>
      </c>
      <c r="C73" s="654" t="s">
        <v>355</v>
      </c>
      <c r="D73" s="422">
        <f t="shared" ref="D73:R73" si="34">SUM(D74:D76)</f>
        <v>114320000</v>
      </c>
      <c r="E73" s="422">
        <f t="shared" si="34"/>
        <v>0</v>
      </c>
      <c r="F73" s="422">
        <f t="shared" si="34"/>
        <v>13970800</v>
      </c>
      <c r="G73" s="422">
        <f t="shared" si="34"/>
        <v>0</v>
      </c>
      <c r="H73" s="422">
        <f t="shared" si="34"/>
        <v>0</v>
      </c>
      <c r="I73" s="422">
        <f t="shared" si="34"/>
        <v>0</v>
      </c>
      <c r="J73" s="422">
        <f t="shared" si="34"/>
        <v>0</v>
      </c>
      <c r="K73" s="422">
        <f t="shared" si="34"/>
        <v>13970800</v>
      </c>
      <c r="L73" s="507">
        <f t="shared" si="34"/>
        <v>128290800</v>
      </c>
      <c r="M73" s="524">
        <v>20625430</v>
      </c>
      <c r="N73" s="422">
        <v>4281225</v>
      </c>
      <c r="O73" s="422">
        <v>1098483.1600000001</v>
      </c>
      <c r="P73" s="422">
        <f t="shared" si="34"/>
        <v>8110243.7300000004</v>
      </c>
      <c r="Q73" s="525">
        <f t="shared" si="34"/>
        <v>34115381.890000001</v>
      </c>
      <c r="R73" s="515">
        <f t="shared" si="34"/>
        <v>94175418.109999999</v>
      </c>
      <c r="S73" s="468">
        <f t="shared" si="2"/>
        <v>0.26592227883838904</v>
      </c>
    </row>
    <row r="74" spans="1:19" s="7" customFormat="1" ht="14.4" x14ac:dyDescent="0.2">
      <c r="A74" s="472" t="s">
        <v>64</v>
      </c>
      <c r="B74" s="423" t="s">
        <v>356</v>
      </c>
      <c r="C74" s="424" t="s">
        <v>83</v>
      </c>
      <c r="D74" s="425">
        <v>74320000</v>
      </c>
      <c r="E74" s="425">
        <v>0</v>
      </c>
      <c r="F74" s="425">
        <v>13970800</v>
      </c>
      <c r="G74" s="425">
        <v>0</v>
      </c>
      <c r="H74" s="425">
        <v>0</v>
      </c>
      <c r="I74" s="425">
        <v>0</v>
      </c>
      <c r="J74" s="425">
        <v>0</v>
      </c>
      <c r="K74" s="425">
        <f>SUM(E74:J74)</f>
        <v>13970800</v>
      </c>
      <c r="L74" s="508">
        <f>D74+K74</f>
        <v>88290800</v>
      </c>
      <c r="M74" s="526">
        <v>1690430</v>
      </c>
      <c r="N74" s="425">
        <v>1049425</v>
      </c>
      <c r="O74" s="425">
        <v>952483</v>
      </c>
      <c r="P74" s="425">
        <f t="shared" ref="P74:P75" si="35">Q74-M74-N74-O74</f>
        <v>8110243.7300000004</v>
      </c>
      <c r="Q74" s="527">
        <v>11802581.73</v>
      </c>
      <c r="R74" s="516">
        <f t="shared" ref="R74:R76" si="36">L74-Q74</f>
        <v>76488218.269999996</v>
      </c>
      <c r="S74" s="469">
        <f t="shared" si="2"/>
        <v>0.13367850025144185</v>
      </c>
    </row>
    <row r="75" spans="1:19" s="7" customFormat="1" ht="28.8" x14ac:dyDescent="0.2">
      <c r="A75" s="472" t="s">
        <v>64</v>
      </c>
      <c r="B75" s="423" t="s">
        <v>357</v>
      </c>
      <c r="C75" s="424" t="s">
        <v>84</v>
      </c>
      <c r="D75" s="425">
        <v>40000000</v>
      </c>
      <c r="E75" s="425">
        <v>0</v>
      </c>
      <c r="F75" s="425">
        <v>0</v>
      </c>
      <c r="G75" s="425">
        <v>0</v>
      </c>
      <c r="H75" s="425">
        <v>0</v>
      </c>
      <c r="I75" s="425">
        <v>0</v>
      </c>
      <c r="J75" s="425">
        <v>0</v>
      </c>
      <c r="K75" s="425">
        <f>SUM(E75:J75)</f>
        <v>0</v>
      </c>
      <c r="L75" s="508">
        <f>D75+K75</f>
        <v>40000000</v>
      </c>
      <c r="M75" s="526">
        <v>18935000</v>
      </c>
      <c r="N75" s="425">
        <v>3231800</v>
      </c>
      <c r="O75" s="425">
        <v>146000.16000000015</v>
      </c>
      <c r="P75" s="425">
        <f t="shared" si="35"/>
        <v>0</v>
      </c>
      <c r="Q75" s="527">
        <v>22312800.16</v>
      </c>
      <c r="R75" s="516">
        <f t="shared" si="36"/>
        <v>17687199.84</v>
      </c>
      <c r="S75" s="469">
        <f t="shared" si="2"/>
        <v>0.55782000399999998</v>
      </c>
    </row>
    <row r="76" spans="1:19" s="7" customFormat="1" ht="28.8" hidden="1" x14ac:dyDescent="0.2">
      <c r="A76" s="472" t="s">
        <v>64</v>
      </c>
      <c r="B76" s="423" t="s">
        <v>358</v>
      </c>
      <c r="C76" s="424" t="s">
        <v>359</v>
      </c>
      <c r="D76" s="425"/>
      <c r="E76" s="425">
        <v>0</v>
      </c>
      <c r="F76" s="425">
        <v>0</v>
      </c>
      <c r="G76" s="425">
        <v>0</v>
      </c>
      <c r="H76" s="425">
        <v>0</v>
      </c>
      <c r="I76" s="425">
        <v>0</v>
      </c>
      <c r="J76" s="425">
        <v>0</v>
      </c>
      <c r="K76" s="425">
        <f>SUM(E76:J76)</f>
        <v>0</v>
      </c>
      <c r="L76" s="508">
        <f>D76+K76</f>
        <v>0</v>
      </c>
      <c r="M76" s="526">
        <v>0</v>
      </c>
      <c r="N76" s="425">
        <v>0</v>
      </c>
      <c r="O76" s="425">
        <v>0</v>
      </c>
      <c r="P76" s="425">
        <v>0</v>
      </c>
      <c r="Q76" s="527">
        <v>0</v>
      </c>
      <c r="R76" s="516">
        <f t="shared" si="36"/>
        <v>0</v>
      </c>
      <c r="S76" s="469" t="e">
        <f t="shared" si="2"/>
        <v>#DIV/0!</v>
      </c>
    </row>
    <row r="77" spans="1:19" s="8" customFormat="1" ht="28.8" hidden="1" x14ac:dyDescent="0.2">
      <c r="A77" s="432" t="s">
        <v>64</v>
      </c>
      <c r="B77" s="420" t="s">
        <v>360</v>
      </c>
      <c r="C77" s="654" t="s">
        <v>361</v>
      </c>
      <c r="D77" s="422">
        <f t="shared" ref="D77:R77" si="37">SUM(D78:D82)</f>
        <v>0</v>
      </c>
      <c r="E77" s="422">
        <f t="shared" si="37"/>
        <v>0</v>
      </c>
      <c r="F77" s="422">
        <f t="shared" si="37"/>
        <v>0</v>
      </c>
      <c r="G77" s="422">
        <f t="shared" si="37"/>
        <v>0</v>
      </c>
      <c r="H77" s="422">
        <f t="shared" si="37"/>
        <v>0</v>
      </c>
      <c r="I77" s="422">
        <f t="shared" si="37"/>
        <v>0</v>
      </c>
      <c r="J77" s="422">
        <f t="shared" si="37"/>
        <v>0</v>
      </c>
      <c r="K77" s="422">
        <f t="shared" si="37"/>
        <v>0</v>
      </c>
      <c r="L77" s="507">
        <f t="shared" si="37"/>
        <v>0</v>
      </c>
      <c r="M77" s="524">
        <v>0</v>
      </c>
      <c r="N77" s="422">
        <v>0</v>
      </c>
      <c r="O77" s="422">
        <v>0</v>
      </c>
      <c r="P77" s="422">
        <f t="shared" si="37"/>
        <v>0</v>
      </c>
      <c r="Q77" s="525">
        <f t="shared" si="37"/>
        <v>0</v>
      </c>
      <c r="R77" s="515">
        <f t="shared" si="37"/>
        <v>0</v>
      </c>
      <c r="S77" s="468" t="e">
        <f t="shared" si="2"/>
        <v>#DIV/0!</v>
      </c>
    </row>
    <row r="78" spans="1:19" s="7" customFormat="1" ht="28.8" hidden="1" x14ac:dyDescent="0.2">
      <c r="A78" s="472" t="s">
        <v>64</v>
      </c>
      <c r="B78" s="423" t="s">
        <v>362</v>
      </c>
      <c r="C78" s="424" t="s">
        <v>467</v>
      </c>
      <c r="D78" s="425"/>
      <c r="E78" s="425">
        <v>0</v>
      </c>
      <c r="F78" s="425">
        <v>0</v>
      </c>
      <c r="G78" s="425">
        <v>0</v>
      </c>
      <c r="H78" s="425">
        <v>0</v>
      </c>
      <c r="I78" s="425">
        <v>0</v>
      </c>
      <c r="J78" s="425">
        <v>0</v>
      </c>
      <c r="K78" s="425">
        <f>SUM(E78:J78)</f>
        <v>0</v>
      </c>
      <c r="L78" s="508">
        <f>D78+K78</f>
        <v>0</v>
      </c>
      <c r="M78" s="526">
        <v>0</v>
      </c>
      <c r="N78" s="425">
        <v>0</v>
      </c>
      <c r="O78" s="425">
        <v>0</v>
      </c>
      <c r="P78" s="425">
        <v>0</v>
      </c>
      <c r="Q78" s="527">
        <v>0</v>
      </c>
      <c r="R78" s="516">
        <f t="shared" ref="R78:R82" si="38">L78-Q78</f>
        <v>0</v>
      </c>
      <c r="S78" s="469" t="e">
        <f t="shared" ref="S78:S143" si="39">Q78/L78</f>
        <v>#DIV/0!</v>
      </c>
    </row>
    <row r="79" spans="1:19" s="8" customFormat="1" ht="28.8" hidden="1" x14ac:dyDescent="0.2">
      <c r="A79" s="472" t="s">
        <v>64</v>
      </c>
      <c r="B79" s="423" t="s">
        <v>363</v>
      </c>
      <c r="C79" s="424" t="s">
        <v>470</v>
      </c>
      <c r="D79" s="425"/>
      <c r="E79" s="425">
        <v>0</v>
      </c>
      <c r="F79" s="425">
        <v>0</v>
      </c>
      <c r="G79" s="425">
        <v>0</v>
      </c>
      <c r="H79" s="425">
        <v>0</v>
      </c>
      <c r="I79" s="425">
        <v>0</v>
      </c>
      <c r="J79" s="425">
        <v>0</v>
      </c>
      <c r="K79" s="425">
        <f>SUM(E79:J79)</f>
        <v>0</v>
      </c>
      <c r="L79" s="508">
        <f>D79+K79</f>
        <v>0</v>
      </c>
      <c r="M79" s="526">
        <v>0</v>
      </c>
      <c r="N79" s="425">
        <v>0</v>
      </c>
      <c r="O79" s="425">
        <v>0</v>
      </c>
      <c r="P79" s="425">
        <v>0</v>
      </c>
      <c r="Q79" s="527">
        <v>0</v>
      </c>
      <c r="R79" s="516">
        <f t="shared" si="38"/>
        <v>0</v>
      </c>
      <c r="S79" s="469" t="e">
        <f t="shared" si="39"/>
        <v>#DIV/0!</v>
      </c>
    </row>
    <row r="80" spans="1:19" s="7" customFormat="1" ht="28.8" hidden="1" x14ac:dyDescent="0.2">
      <c r="A80" s="472" t="s">
        <v>64</v>
      </c>
      <c r="B80" s="423" t="s">
        <v>364</v>
      </c>
      <c r="C80" s="424" t="s">
        <v>469</v>
      </c>
      <c r="D80" s="425"/>
      <c r="E80" s="425">
        <v>0</v>
      </c>
      <c r="F80" s="425">
        <v>0</v>
      </c>
      <c r="G80" s="425">
        <v>0</v>
      </c>
      <c r="H80" s="425">
        <v>0</v>
      </c>
      <c r="I80" s="425">
        <v>0</v>
      </c>
      <c r="J80" s="425">
        <v>0</v>
      </c>
      <c r="K80" s="425">
        <f>SUM(E80:J80)</f>
        <v>0</v>
      </c>
      <c r="L80" s="508">
        <f>D80+K80</f>
        <v>0</v>
      </c>
      <c r="M80" s="526">
        <v>0</v>
      </c>
      <c r="N80" s="425">
        <v>0</v>
      </c>
      <c r="O80" s="425">
        <v>0</v>
      </c>
      <c r="P80" s="425">
        <v>0</v>
      </c>
      <c r="Q80" s="527">
        <v>0</v>
      </c>
      <c r="R80" s="516">
        <f t="shared" si="38"/>
        <v>0</v>
      </c>
      <c r="S80" s="469" t="e">
        <f t="shared" si="39"/>
        <v>#DIV/0!</v>
      </c>
    </row>
    <row r="81" spans="1:20" s="8" customFormat="1" ht="28.8" hidden="1" x14ac:dyDescent="0.2">
      <c r="A81" s="472" t="s">
        <v>64</v>
      </c>
      <c r="B81" s="423" t="s">
        <v>365</v>
      </c>
      <c r="C81" s="424" t="s">
        <v>471</v>
      </c>
      <c r="D81" s="425"/>
      <c r="E81" s="425">
        <v>0</v>
      </c>
      <c r="F81" s="425">
        <v>0</v>
      </c>
      <c r="G81" s="425">
        <v>0</v>
      </c>
      <c r="H81" s="425">
        <v>0</v>
      </c>
      <c r="I81" s="425">
        <v>0</v>
      </c>
      <c r="J81" s="425">
        <v>0</v>
      </c>
      <c r="K81" s="425">
        <f>SUM(E81:J81)</f>
        <v>0</v>
      </c>
      <c r="L81" s="508">
        <f>D81+K81</f>
        <v>0</v>
      </c>
      <c r="M81" s="526">
        <v>0</v>
      </c>
      <c r="N81" s="425">
        <v>0</v>
      </c>
      <c r="O81" s="425">
        <v>0</v>
      </c>
      <c r="P81" s="425">
        <v>0</v>
      </c>
      <c r="Q81" s="527">
        <v>0</v>
      </c>
      <c r="R81" s="516">
        <f t="shared" si="38"/>
        <v>0</v>
      </c>
      <c r="S81" s="469" t="e">
        <f t="shared" si="39"/>
        <v>#DIV/0!</v>
      </c>
    </row>
    <row r="82" spans="1:20" s="7" customFormat="1" ht="28.8" hidden="1" x14ac:dyDescent="0.2">
      <c r="A82" s="472" t="s">
        <v>64</v>
      </c>
      <c r="B82" s="423" t="s">
        <v>366</v>
      </c>
      <c r="C82" s="424" t="s">
        <v>468</v>
      </c>
      <c r="D82" s="425"/>
      <c r="E82" s="425">
        <v>0</v>
      </c>
      <c r="F82" s="425">
        <v>0</v>
      </c>
      <c r="G82" s="425">
        <v>0</v>
      </c>
      <c r="H82" s="425">
        <v>0</v>
      </c>
      <c r="I82" s="425">
        <v>0</v>
      </c>
      <c r="J82" s="425">
        <v>0</v>
      </c>
      <c r="K82" s="425">
        <f>SUM(E82:J82)</f>
        <v>0</v>
      </c>
      <c r="L82" s="508">
        <f>D82+K82</f>
        <v>0</v>
      </c>
      <c r="M82" s="526">
        <v>0</v>
      </c>
      <c r="N82" s="425">
        <v>0</v>
      </c>
      <c r="O82" s="425">
        <v>0</v>
      </c>
      <c r="P82" s="425">
        <v>0</v>
      </c>
      <c r="Q82" s="527">
        <v>0</v>
      </c>
      <c r="R82" s="516">
        <f t="shared" si="38"/>
        <v>0</v>
      </c>
      <c r="S82" s="469" t="e">
        <f t="shared" si="39"/>
        <v>#DIV/0!</v>
      </c>
    </row>
    <row r="83" spans="1:20" s="8" customFormat="1" ht="14.4" hidden="1" x14ac:dyDescent="0.2">
      <c r="A83" s="437" t="s">
        <v>85</v>
      </c>
      <c r="B83" s="420" t="s">
        <v>367</v>
      </c>
      <c r="C83" s="654" t="s">
        <v>368</v>
      </c>
      <c r="D83" s="422">
        <f t="shared" ref="D83:R83" si="40">SUM(D84)</f>
        <v>0</v>
      </c>
      <c r="E83" s="422">
        <f t="shared" si="40"/>
        <v>0</v>
      </c>
      <c r="F83" s="422">
        <f t="shared" si="40"/>
        <v>0</v>
      </c>
      <c r="G83" s="422">
        <f t="shared" si="40"/>
        <v>0</v>
      </c>
      <c r="H83" s="422">
        <f t="shared" si="40"/>
        <v>0</v>
      </c>
      <c r="I83" s="422">
        <f t="shared" si="40"/>
        <v>0</v>
      </c>
      <c r="J83" s="422">
        <f t="shared" si="40"/>
        <v>0</v>
      </c>
      <c r="K83" s="422">
        <f t="shared" si="40"/>
        <v>0</v>
      </c>
      <c r="L83" s="507">
        <f t="shared" si="40"/>
        <v>0</v>
      </c>
      <c r="M83" s="524">
        <v>0</v>
      </c>
      <c r="N83" s="422">
        <v>0</v>
      </c>
      <c r="O83" s="422">
        <v>0</v>
      </c>
      <c r="P83" s="422">
        <f t="shared" si="40"/>
        <v>0</v>
      </c>
      <c r="Q83" s="525">
        <f t="shared" si="40"/>
        <v>0</v>
      </c>
      <c r="R83" s="515">
        <f t="shared" si="40"/>
        <v>0</v>
      </c>
      <c r="S83" s="468" t="e">
        <f t="shared" si="39"/>
        <v>#DIV/0!</v>
      </c>
    </row>
    <row r="84" spans="1:20" s="8" customFormat="1" ht="14.4" hidden="1" x14ac:dyDescent="0.2">
      <c r="A84" s="471" t="s">
        <v>85</v>
      </c>
      <c r="B84" s="423" t="s">
        <v>369</v>
      </c>
      <c r="C84" s="424" t="s">
        <v>86</v>
      </c>
      <c r="D84" s="425"/>
      <c r="E84" s="425">
        <v>0</v>
      </c>
      <c r="F84" s="425">
        <v>0</v>
      </c>
      <c r="G84" s="425">
        <v>0</v>
      </c>
      <c r="H84" s="425">
        <v>0</v>
      </c>
      <c r="I84" s="425">
        <v>0</v>
      </c>
      <c r="J84" s="425">
        <v>0</v>
      </c>
      <c r="K84" s="425">
        <f>SUM(E84:J84)</f>
        <v>0</v>
      </c>
      <c r="L84" s="508">
        <f>D84+K84</f>
        <v>0</v>
      </c>
      <c r="M84" s="526">
        <v>0</v>
      </c>
      <c r="N84" s="425">
        <v>0</v>
      </c>
      <c r="O84" s="425">
        <v>0</v>
      </c>
      <c r="P84" s="425">
        <v>0</v>
      </c>
      <c r="Q84" s="527">
        <v>0</v>
      </c>
      <c r="R84" s="516">
        <f>L84-Q84</f>
        <v>0</v>
      </c>
      <c r="S84" s="469" t="e">
        <f t="shared" si="39"/>
        <v>#DIV/0!</v>
      </c>
    </row>
    <row r="85" spans="1:20" s="8" customFormat="1" ht="14.4" hidden="1" x14ac:dyDescent="0.2">
      <c r="A85" s="432" t="s">
        <v>64</v>
      </c>
      <c r="B85" s="420" t="s">
        <v>370</v>
      </c>
      <c r="C85" s="654" t="s">
        <v>371</v>
      </c>
      <c r="D85" s="422">
        <f t="shared" ref="D85:R85" si="41">SUM(D86:D87)</f>
        <v>0</v>
      </c>
      <c r="E85" s="422">
        <f t="shared" si="41"/>
        <v>0</v>
      </c>
      <c r="F85" s="422">
        <f t="shared" si="41"/>
        <v>0</v>
      </c>
      <c r="G85" s="422">
        <f t="shared" si="41"/>
        <v>0</v>
      </c>
      <c r="H85" s="422">
        <f t="shared" si="41"/>
        <v>0</v>
      </c>
      <c r="I85" s="422">
        <f t="shared" si="41"/>
        <v>0</v>
      </c>
      <c r="J85" s="422">
        <f t="shared" si="41"/>
        <v>0</v>
      </c>
      <c r="K85" s="422">
        <f t="shared" si="41"/>
        <v>0</v>
      </c>
      <c r="L85" s="507">
        <f t="shared" si="41"/>
        <v>0</v>
      </c>
      <c r="M85" s="524">
        <v>0</v>
      </c>
      <c r="N85" s="422">
        <v>0</v>
      </c>
      <c r="O85" s="422">
        <v>0</v>
      </c>
      <c r="P85" s="422">
        <f t="shared" si="41"/>
        <v>0</v>
      </c>
      <c r="Q85" s="525">
        <f t="shared" si="41"/>
        <v>0</v>
      </c>
      <c r="R85" s="515">
        <f t="shared" si="41"/>
        <v>0</v>
      </c>
      <c r="S85" s="468" t="e">
        <f t="shared" si="39"/>
        <v>#DIV/0!</v>
      </c>
    </row>
    <row r="86" spans="1:20" s="7" customFormat="1" ht="28.8" hidden="1" x14ac:dyDescent="0.2">
      <c r="A86" s="472" t="s">
        <v>64</v>
      </c>
      <c r="B86" s="423" t="s">
        <v>372</v>
      </c>
      <c r="C86" s="424" t="s">
        <v>87</v>
      </c>
      <c r="D86" s="425"/>
      <c r="E86" s="425">
        <v>0</v>
      </c>
      <c r="F86" s="425">
        <v>0</v>
      </c>
      <c r="G86" s="425">
        <v>0</v>
      </c>
      <c r="H86" s="425">
        <v>0</v>
      </c>
      <c r="I86" s="425">
        <v>0</v>
      </c>
      <c r="J86" s="425">
        <v>0</v>
      </c>
      <c r="K86" s="425">
        <f>SUM(E86:J86)</f>
        <v>0</v>
      </c>
      <c r="L86" s="508">
        <f>D86+K86</f>
        <v>0</v>
      </c>
      <c r="M86" s="526">
        <v>0</v>
      </c>
      <c r="N86" s="425">
        <v>0</v>
      </c>
      <c r="O86" s="425">
        <v>0</v>
      </c>
      <c r="P86" s="425">
        <v>0</v>
      </c>
      <c r="Q86" s="527">
        <v>0</v>
      </c>
      <c r="R86" s="516">
        <f t="shared" ref="R86:R87" si="42">L86-Q86</f>
        <v>0</v>
      </c>
      <c r="S86" s="469" t="e">
        <f t="shared" si="39"/>
        <v>#DIV/0!</v>
      </c>
    </row>
    <row r="87" spans="1:20" s="7" customFormat="1" ht="14.4" hidden="1" x14ac:dyDescent="0.2">
      <c r="A87" s="472" t="s">
        <v>64</v>
      </c>
      <c r="B87" s="423" t="s">
        <v>373</v>
      </c>
      <c r="C87" s="424" t="s">
        <v>88</v>
      </c>
      <c r="D87" s="425"/>
      <c r="E87" s="425">
        <v>0</v>
      </c>
      <c r="F87" s="425">
        <v>0</v>
      </c>
      <c r="G87" s="425">
        <v>0</v>
      </c>
      <c r="H87" s="425">
        <v>0</v>
      </c>
      <c r="I87" s="425">
        <v>0</v>
      </c>
      <c r="J87" s="425">
        <v>0</v>
      </c>
      <c r="K87" s="425">
        <f>SUM(E87:J87)</f>
        <v>0</v>
      </c>
      <c r="L87" s="508">
        <f>D87+K87</f>
        <v>0</v>
      </c>
      <c r="M87" s="526">
        <v>0</v>
      </c>
      <c r="N87" s="425">
        <v>0</v>
      </c>
      <c r="O87" s="425">
        <v>0</v>
      </c>
      <c r="P87" s="425">
        <v>0</v>
      </c>
      <c r="Q87" s="527">
        <v>0</v>
      </c>
      <c r="R87" s="516">
        <f t="shared" si="42"/>
        <v>0</v>
      </c>
      <c r="S87" s="469" t="e">
        <f t="shared" si="39"/>
        <v>#DIV/0!</v>
      </c>
    </row>
    <row r="88" spans="1:20" s="7" customFormat="1" ht="14.4" x14ac:dyDescent="0.3">
      <c r="A88" s="432"/>
      <c r="B88" s="429"/>
      <c r="C88" s="654"/>
      <c r="D88" s="495"/>
      <c r="E88" s="495"/>
      <c r="F88" s="495"/>
      <c r="G88" s="495"/>
      <c r="H88" s="495"/>
      <c r="I88" s="495"/>
      <c r="J88" s="495"/>
      <c r="K88" s="495"/>
      <c r="L88" s="543"/>
      <c r="M88" s="649"/>
      <c r="N88" s="495"/>
      <c r="O88" s="495"/>
      <c r="P88" s="495"/>
      <c r="Q88" s="650"/>
      <c r="R88" s="544"/>
      <c r="S88" s="469"/>
    </row>
    <row r="89" spans="1:20" s="8" customFormat="1" ht="28.8" x14ac:dyDescent="0.2">
      <c r="A89" s="437" t="s">
        <v>64</v>
      </c>
      <c r="B89" s="439" t="s">
        <v>374</v>
      </c>
      <c r="C89" s="655" t="s">
        <v>375</v>
      </c>
      <c r="D89" s="441">
        <f t="shared" ref="D89:R89" si="43">SUM(D90+D95+D97+D104+D107)</f>
        <v>0</v>
      </c>
      <c r="E89" s="441">
        <f t="shared" si="43"/>
        <v>0</v>
      </c>
      <c r="F89" s="441">
        <f t="shared" si="43"/>
        <v>0</v>
      </c>
      <c r="G89" s="441">
        <f t="shared" si="43"/>
        <v>0</v>
      </c>
      <c r="H89" s="441">
        <f t="shared" si="43"/>
        <v>0</v>
      </c>
      <c r="I89" s="441">
        <f t="shared" si="43"/>
        <v>0</v>
      </c>
      <c r="J89" s="441">
        <f t="shared" si="43"/>
        <v>0</v>
      </c>
      <c r="K89" s="441">
        <f t="shared" si="43"/>
        <v>0</v>
      </c>
      <c r="L89" s="510">
        <f t="shared" si="43"/>
        <v>0</v>
      </c>
      <c r="M89" s="530">
        <v>0</v>
      </c>
      <c r="N89" s="441">
        <v>0</v>
      </c>
      <c r="O89" s="441">
        <v>0</v>
      </c>
      <c r="P89" s="441">
        <f t="shared" si="43"/>
        <v>0</v>
      </c>
      <c r="Q89" s="531">
        <f t="shared" si="43"/>
        <v>0</v>
      </c>
      <c r="R89" s="518">
        <f t="shared" si="43"/>
        <v>0</v>
      </c>
      <c r="S89" s="467" t="e">
        <f t="shared" si="39"/>
        <v>#DIV/0!</v>
      </c>
    </row>
    <row r="90" spans="1:20" s="8" customFormat="1" ht="28.8" hidden="1" x14ac:dyDescent="0.2">
      <c r="A90" s="432" t="s">
        <v>64</v>
      </c>
      <c r="B90" s="420" t="s">
        <v>376</v>
      </c>
      <c r="C90" s="654" t="s">
        <v>377</v>
      </c>
      <c r="D90" s="422">
        <f t="shared" ref="D90:R90" si="44">SUM(D91:D94)</f>
        <v>0</v>
      </c>
      <c r="E90" s="422">
        <f t="shared" si="44"/>
        <v>0</v>
      </c>
      <c r="F90" s="422">
        <f t="shared" si="44"/>
        <v>0</v>
      </c>
      <c r="G90" s="422">
        <f t="shared" si="44"/>
        <v>0</v>
      </c>
      <c r="H90" s="422">
        <f t="shared" si="44"/>
        <v>0</v>
      </c>
      <c r="I90" s="422">
        <f t="shared" si="44"/>
        <v>0</v>
      </c>
      <c r="J90" s="422">
        <f t="shared" si="44"/>
        <v>0</v>
      </c>
      <c r="K90" s="422">
        <f t="shared" si="44"/>
        <v>0</v>
      </c>
      <c r="L90" s="507">
        <f t="shared" si="44"/>
        <v>0</v>
      </c>
      <c r="M90" s="524">
        <v>0</v>
      </c>
      <c r="N90" s="422">
        <v>0</v>
      </c>
      <c r="O90" s="422">
        <v>0</v>
      </c>
      <c r="P90" s="422">
        <f t="shared" si="44"/>
        <v>0</v>
      </c>
      <c r="Q90" s="525">
        <f t="shared" si="44"/>
        <v>0</v>
      </c>
      <c r="R90" s="515">
        <f t="shared" si="44"/>
        <v>0</v>
      </c>
      <c r="S90" s="468" t="e">
        <f t="shared" si="39"/>
        <v>#DIV/0!</v>
      </c>
    </row>
    <row r="91" spans="1:20" s="7" customFormat="1" ht="14.4" hidden="1" x14ac:dyDescent="0.2">
      <c r="A91" s="472" t="s">
        <v>64</v>
      </c>
      <c r="B91" s="423" t="s">
        <v>378</v>
      </c>
      <c r="C91" s="424" t="s">
        <v>89</v>
      </c>
      <c r="D91" s="425"/>
      <c r="E91" s="425">
        <v>0</v>
      </c>
      <c r="F91" s="425">
        <v>0</v>
      </c>
      <c r="G91" s="425">
        <v>0</v>
      </c>
      <c r="H91" s="425">
        <v>0</v>
      </c>
      <c r="I91" s="425">
        <v>0</v>
      </c>
      <c r="J91" s="425">
        <v>0</v>
      </c>
      <c r="K91" s="425">
        <f>SUM(E91:J91)</f>
        <v>0</v>
      </c>
      <c r="L91" s="508">
        <f>D91+K91</f>
        <v>0</v>
      </c>
      <c r="M91" s="526">
        <v>0</v>
      </c>
      <c r="N91" s="425">
        <v>0</v>
      </c>
      <c r="O91" s="425">
        <v>0</v>
      </c>
      <c r="P91" s="425">
        <v>0</v>
      </c>
      <c r="Q91" s="527">
        <v>0</v>
      </c>
      <c r="R91" s="516">
        <f t="shared" ref="R91:R94" si="45">L91-Q91</f>
        <v>0</v>
      </c>
      <c r="S91" s="469" t="e">
        <f t="shared" si="39"/>
        <v>#DIV/0!</v>
      </c>
    </row>
    <row r="92" spans="1:20" s="8" customFormat="1" ht="28.8" hidden="1" x14ac:dyDescent="0.2">
      <c r="A92" s="472" t="s">
        <v>64</v>
      </c>
      <c r="B92" s="423" t="s">
        <v>379</v>
      </c>
      <c r="C92" s="424" t="s">
        <v>380</v>
      </c>
      <c r="D92" s="425"/>
      <c r="E92" s="425">
        <v>0</v>
      </c>
      <c r="F92" s="425">
        <v>0</v>
      </c>
      <c r="G92" s="425">
        <v>0</v>
      </c>
      <c r="H92" s="425">
        <v>0</v>
      </c>
      <c r="I92" s="425">
        <v>0</v>
      </c>
      <c r="J92" s="425">
        <v>0</v>
      </c>
      <c r="K92" s="425">
        <f>SUM(E92:J92)</f>
        <v>0</v>
      </c>
      <c r="L92" s="508">
        <f>D92+K92</f>
        <v>0</v>
      </c>
      <c r="M92" s="526">
        <v>0</v>
      </c>
      <c r="N92" s="425">
        <v>0</v>
      </c>
      <c r="O92" s="425">
        <v>0</v>
      </c>
      <c r="P92" s="425">
        <v>0</v>
      </c>
      <c r="Q92" s="527">
        <v>0</v>
      </c>
      <c r="R92" s="516">
        <f t="shared" si="45"/>
        <v>0</v>
      </c>
      <c r="S92" s="469" t="e">
        <f t="shared" si="39"/>
        <v>#DIV/0!</v>
      </c>
    </row>
    <row r="93" spans="1:20" s="7" customFormat="1" ht="14.4" hidden="1" x14ac:dyDescent="0.2">
      <c r="A93" s="472" t="s">
        <v>64</v>
      </c>
      <c r="B93" s="423" t="s">
        <v>381</v>
      </c>
      <c r="C93" s="424" t="s">
        <v>90</v>
      </c>
      <c r="D93" s="425"/>
      <c r="E93" s="425">
        <v>0</v>
      </c>
      <c r="F93" s="425">
        <v>0</v>
      </c>
      <c r="G93" s="425">
        <v>0</v>
      </c>
      <c r="H93" s="425">
        <v>0</v>
      </c>
      <c r="I93" s="425">
        <v>0</v>
      </c>
      <c r="J93" s="425">
        <v>0</v>
      </c>
      <c r="K93" s="425">
        <f>SUM(E93:J93)</f>
        <v>0</v>
      </c>
      <c r="L93" s="508">
        <f>D93+K93</f>
        <v>0</v>
      </c>
      <c r="M93" s="526">
        <v>0</v>
      </c>
      <c r="N93" s="425">
        <v>0</v>
      </c>
      <c r="O93" s="425">
        <v>0</v>
      </c>
      <c r="P93" s="425">
        <v>0</v>
      </c>
      <c r="Q93" s="527">
        <v>0</v>
      </c>
      <c r="R93" s="516">
        <f t="shared" si="45"/>
        <v>0</v>
      </c>
      <c r="S93" s="469" t="e">
        <f t="shared" si="39"/>
        <v>#DIV/0!</v>
      </c>
    </row>
    <row r="94" spans="1:20" s="7" customFormat="1" ht="28.8" hidden="1" x14ac:dyDescent="0.2">
      <c r="A94" s="472" t="s">
        <v>64</v>
      </c>
      <c r="B94" s="423" t="s">
        <v>382</v>
      </c>
      <c r="C94" s="424" t="s">
        <v>91</v>
      </c>
      <c r="D94" s="425"/>
      <c r="E94" s="425">
        <v>0</v>
      </c>
      <c r="F94" s="425">
        <v>0</v>
      </c>
      <c r="G94" s="425">
        <v>0</v>
      </c>
      <c r="H94" s="425">
        <v>0</v>
      </c>
      <c r="I94" s="425">
        <v>0</v>
      </c>
      <c r="J94" s="425">
        <v>0</v>
      </c>
      <c r="K94" s="425">
        <f>SUM(E94:J94)</f>
        <v>0</v>
      </c>
      <c r="L94" s="508">
        <f>D94+K94</f>
        <v>0</v>
      </c>
      <c r="M94" s="526">
        <v>0</v>
      </c>
      <c r="N94" s="425">
        <v>0</v>
      </c>
      <c r="O94" s="425">
        <v>0</v>
      </c>
      <c r="P94" s="425">
        <v>0</v>
      </c>
      <c r="Q94" s="527">
        <v>0</v>
      </c>
      <c r="R94" s="516">
        <f t="shared" si="45"/>
        <v>0</v>
      </c>
      <c r="S94" s="469" t="e">
        <f t="shared" si="39"/>
        <v>#DIV/0!</v>
      </c>
    </row>
    <row r="95" spans="1:20" s="8" customFormat="1" ht="28.8" hidden="1" x14ac:dyDescent="0.2">
      <c r="A95" s="432" t="s">
        <v>64</v>
      </c>
      <c r="B95" s="420" t="s">
        <v>383</v>
      </c>
      <c r="C95" s="654" t="s">
        <v>384</v>
      </c>
      <c r="D95" s="422">
        <f t="shared" ref="D95:R95" si="46">SUM(D96:D96)</f>
        <v>0</v>
      </c>
      <c r="E95" s="422">
        <f t="shared" si="46"/>
        <v>0</v>
      </c>
      <c r="F95" s="422">
        <f t="shared" si="46"/>
        <v>0</v>
      </c>
      <c r="G95" s="422">
        <f t="shared" si="46"/>
        <v>0</v>
      </c>
      <c r="H95" s="422">
        <f t="shared" si="46"/>
        <v>0</v>
      </c>
      <c r="I95" s="422">
        <f t="shared" si="46"/>
        <v>0</v>
      </c>
      <c r="J95" s="422">
        <f t="shared" si="46"/>
        <v>0</v>
      </c>
      <c r="K95" s="422">
        <f t="shared" si="46"/>
        <v>0</v>
      </c>
      <c r="L95" s="507">
        <f t="shared" si="46"/>
        <v>0</v>
      </c>
      <c r="M95" s="524">
        <v>0</v>
      </c>
      <c r="N95" s="422">
        <v>0</v>
      </c>
      <c r="O95" s="422">
        <v>0</v>
      </c>
      <c r="P95" s="422">
        <f t="shared" si="46"/>
        <v>0</v>
      </c>
      <c r="Q95" s="525">
        <f t="shared" si="46"/>
        <v>0</v>
      </c>
      <c r="R95" s="515">
        <f t="shared" si="46"/>
        <v>0</v>
      </c>
      <c r="S95" s="468" t="e">
        <f t="shared" si="39"/>
        <v>#DIV/0!</v>
      </c>
      <c r="T95" s="473"/>
    </row>
    <row r="96" spans="1:20" s="8" customFormat="1" ht="14.4" hidden="1" x14ac:dyDescent="0.2">
      <c r="A96" s="472" t="s">
        <v>64</v>
      </c>
      <c r="B96" s="423" t="s">
        <v>385</v>
      </c>
      <c r="C96" s="424" t="s">
        <v>92</v>
      </c>
      <c r="D96" s="425"/>
      <c r="E96" s="425">
        <v>0</v>
      </c>
      <c r="F96" s="425">
        <v>0</v>
      </c>
      <c r="G96" s="425">
        <v>0</v>
      </c>
      <c r="H96" s="425">
        <v>0</v>
      </c>
      <c r="I96" s="425">
        <v>0</v>
      </c>
      <c r="J96" s="425">
        <v>0</v>
      </c>
      <c r="K96" s="425">
        <f>SUM(E96:J96)</f>
        <v>0</v>
      </c>
      <c r="L96" s="508">
        <f>D96+K96</f>
        <v>0</v>
      </c>
      <c r="M96" s="526">
        <v>0</v>
      </c>
      <c r="N96" s="425">
        <v>0</v>
      </c>
      <c r="O96" s="425">
        <v>0</v>
      </c>
      <c r="P96" s="425">
        <v>0</v>
      </c>
      <c r="Q96" s="527">
        <v>0</v>
      </c>
      <c r="R96" s="516">
        <f>L96-Q96</f>
        <v>0</v>
      </c>
      <c r="S96" s="469" t="e">
        <f t="shared" si="39"/>
        <v>#DIV/0!</v>
      </c>
    </row>
    <row r="97" spans="1:19" s="8" customFormat="1" ht="28.8" hidden="1" x14ac:dyDescent="0.2">
      <c r="A97" s="432" t="s">
        <v>64</v>
      </c>
      <c r="B97" s="420" t="s">
        <v>386</v>
      </c>
      <c r="C97" s="654" t="s">
        <v>476</v>
      </c>
      <c r="D97" s="422">
        <f t="shared" ref="D97:R97" si="47">SUM(D98:D103)</f>
        <v>0</v>
      </c>
      <c r="E97" s="422">
        <f t="shared" si="47"/>
        <v>0</v>
      </c>
      <c r="F97" s="422">
        <f t="shared" si="47"/>
        <v>0</v>
      </c>
      <c r="G97" s="422">
        <f t="shared" si="47"/>
        <v>0</v>
      </c>
      <c r="H97" s="422">
        <f t="shared" si="47"/>
        <v>0</v>
      </c>
      <c r="I97" s="422">
        <f t="shared" si="47"/>
        <v>0</v>
      </c>
      <c r="J97" s="422">
        <f t="shared" si="47"/>
        <v>0</v>
      </c>
      <c r="K97" s="422">
        <f t="shared" si="47"/>
        <v>0</v>
      </c>
      <c r="L97" s="507">
        <f t="shared" si="47"/>
        <v>0</v>
      </c>
      <c r="M97" s="524">
        <v>0</v>
      </c>
      <c r="N97" s="422">
        <v>0</v>
      </c>
      <c r="O97" s="422">
        <v>0</v>
      </c>
      <c r="P97" s="422">
        <f t="shared" si="47"/>
        <v>0</v>
      </c>
      <c r="Q97" s="525">
        <f t="shared" si="47"/>
        <v>0</v>
      </c>
      <c r="R97" s="515">
        <f t="shared" si="47"/>
        <v>0</v>
      </c>
      <c r="S97" s="468" t="e">
        <f t="shared" si="39"/>
        <v>#DIV/0!</v>
      </c>
    </row>
    <row r="98" spans="1:19" s="7" customFormat="1" ht="28.8" hidden="1" x14ac:dyDescent="0.2">
      <c r="A98" s="472" t="s">
        <v>64</v>
      </c>
      <c r="B98" s="423" t="s">
        <v>387</v>
      </c>
      <c r="C98" s="424" t="s">
        <v>93</v>
      </c>
      <c r="D98" s="425"/>
      <c r="E98" s="425">
        <v>0</v>
      </c>
      <c r="F98" s="425">
        <v>0</v>
      </c>
      <c r="G98" s="425">
        <v>0</v>
      </c>
      <c r="H98" s="425">
        <v>0</v>
      </c>
      <c r="I98" s="425">
        <v>0</v>
      </c>
      <c r="J98" s="425">
        <v>0</v>
      </c>
      <c r="K98" s="425">
        <f t="shared" ref="K98:K103" si="48">SUM(E98:J98)</f>
        <v>0</v>
      </c>
      <c r="L98" s="508">
        <f t="shared" ref="L98:L103" si="49">D98+K98</f>
        <v>0</v>
      </c>
      <c r="M98" s="526">
        <v>0</v>
      </c>
      <c r="N98" s="425">
        <v>0</v>
      </c>
      <c r="O98" s="425">
        <v>0</v>
      </c>
      <c r="P98" s="425">
        <v>0</v>
      </c>
      <c r="Q98" s="527">
        <v>0</v>
      </c>
      <c r="R98" s="516">
        <f t="shared" ref="R98:R103" si="50">L98-Q98</f>
        <v>0</v>
      </c>
      <c r="S98" s="469" t="e">
        <f t="shared" si="39"/>
        <v>#DIV/0!</v>
      </c>
    </row>
    <row r="99" spans="1:19" s="7" customFormat="1" ht="14.4" hidden="1" x14ac:dyDescent="0.2">
      <c r="A99" s="472" t="s">
        <v>64</v>
      </c>
      <c r="B99" s="423" t="s">
        <v>388</v>
      </c>
      <c r="C99" s="424" t="s">
        <v>94</v>
      </c>
      <c r="D99" s="425"/>
      <c r="E99" s="425">
        <v>0</v>
      </c>
      <c r="F99" s="425">
        <v>0</v>
      </c>
      <c r="G99" s="425">
        <v>0</v>
      </c>
      <c r="H99" s="425">
        <v>0</v>
      </c>
      <c r="I99" s="425">
        <v>0</v>
      </c>
      <c r="J99" s="425">
        <v>0</v>
      </c>
      <c r="K99" s="425">
        <f t="shared" si="48"/>
        <v>0</v>
      </c>
      <c r="L99" s="508">
        <f t="shared" si="49"/>
        <v>0</v>
      </c>
      <c r="M99" s="526">
        <v>0</v>
      </c>
      <c r="N99" s="425">
        <v>0</v>
      </c>
      <c r="O99" s="425">
        <v>0</v>
      </c>
      <c r="P99" s="425">
        <v>0</v>
      </c>
      <c r="Q99" s="527">
        <v>0</v>
      </c>
      <c r="R99" s="516">
        <f t="shared" si="50"/>
        <v>0</v>
      </c>
      <c r="S99" s="469" t="e">
        <f t="shared" si="39"/>
        <v>#DIV/0!</v>
      </c>
    </row>
    <row r="100" spans="1:19" s="8" customFormat="1" ht="28.8" hidden="1" x14ac:dyDescent="0.2">
      <c r="A100" s="472" t="s">
        <v>64</v>
      </c>
      <c r="B100" s="423" t="s">
        <v>389</v>
      </c>
      <c r="C100" s="424" t="s">
        <v>472</v>
      </c>
      <c r="D100" s="425"/>
      <c r="E100" s="425">
        <v>0</v>
      </c>
      <c r="F100" s="425">
        <v>0</v>
      </c>
      <c r="G100" s="425">
        <v>0</v>
      </c>
      <c r="H100" s="425">
        <v>0</v>
      </c>
      <c r="I100" s="425">
        <v>0</v>
      </c>
      <c r="J100" s="425">
        <v>0</v>
      </c>
      <c r="K100" s="425">
        <f t="shared" si="48"/>
        <v>0</v>
      </c>
      <c r="L100" s="508">
        <f t="shared" si="49"/>
        <v>0</v>
      </c>
      <c r="M100" s="526">
        <v>0</v>
      </c>
      <c r="N100" s="425">
        <v>0</v>
      </c>
      <c r="O100" s="425">
        <v>0</v>
      </c>
      <c r="P100" s="425">
        <v>0</v>
      </c>
      <c r="Q100" s="527">
        <v>0</v>
      </c>
      <c r="R100" s="516">
        <f t="shared" si="50"/>
        <v>0</v>
      </c>
      <c r="S100" s="469" t="e">
        <f t="shared" si="39"/>
        <v>#DIV/0!</v>
      </c>
    </row>
    <row r="101" spans="1:19" s="7" customFormat="1" ht="28.8" hidden="1" x14ac:dyDescent="0.2">
      <c r="A101" s="472" t="s">
        <v>64</v>
      </c>
      <c r="B101" s="423" t="s">
        <v>390</v>
      </c>
      <c r="C101" s="424" t="s">
        <v>95</v>
      </c>
      <c r="D101" s="425"/>
      <c r="E101" s="425">
        <v>0</v>
      </c>
      <c r="F101" s="425">
        <v>0</v>
      </c>
      <c r="G101" s="425">
        <v>0</v>
      </c>
      <c r="H101" s="425">
        <v>0</v>
      </c>
      <c r="I101" s="425">
        <v>0</v>
      </c>
      <c r="J101" s="425">
        <v>0</v>
      </c>
      <c r="K101" s="425">
        <f t="shared" si="48"/>
        <v>0</v>
      </c>
      <c r="L101" s="508">
        <f t="shared" si="49"/>
        <v>0</v>
      </c>
      <c r="M101" s="526">
        <v>0</v>
      </c>
      <c r="N101" s="425">
        <v>0</v>
      </c>
      <c r="O101" s="425">
        <v>0</v>
      </c>
      <c r="P101" s="425">
        <v>0</v>
      </c>
      <c r="Q101" s="527">
        <v>0</v>
      </c>
      <c r="R101" s="516">
        <f t="shared" si="50"/>
        <v>0</v>
      </c>
      <c r="S101" s="469" t="e">
        <f t="shared" si="39"/>
        <v>#DIV/0!</v>
      </c>
    </row>
    <row r="102" spans="1:19" s="7" customFormat="1" ht="28.8" hidden="1" x14ac:dyDescent="0.2">
      <c r="A102" s="472" t="s">
        <v>64</v>
      </c>
      <c r="B102" s="423" t="s">
        <v>391</v>
      </c>
      <c r="C102" s="424" t="s">
        <v>96</v>
      </c>
      <c r="D102" s="425"/>
      <c r="E102" s="425">
        <v>0</v>
      </c>
      <c r="F102" s="425">
        <v>0</v>
      </c>
      <c r="G102" s="425">
        <v>0</v>
      </c>
      <c r="H102" s="425">
        <v>0</v>
      </c>
      <c r="I102" s="425">
        <v>0</v>
      </c>
      <c r="J102" s="425">
        <v>0</v>
      </c>
      <c r="K102" s="425">
        <f t="shared" si="48"/>
        <v>0</v>
      </c>
      <c r="L102" s="508">
        <f t="shared" si="49"/>
        <v>0</v>
      </c>
      <c r="M102" s="526">
        <v>0</v>
      </c>
      <c r="N102" s="425">
        <v>0</v>
      </c>
      <c r="O102" s="425">
        <v>0</v>
      </c>
      <c r="P102" s="425">
        <v>0</v>
      </c>
      <c r="Q102" s="527">
        <v>0</v>
      </c>
      <c r="R102" s="516">
        <f t="shared" si="50"/>
        <v>0</v>
      </c>
      <c r="S102" s="469" t="e">
        <f t="shared" si="39"/>
        <v>#DIV/0!</v>
      </c>
    </row>
    <row r="103" spans="1:19" s="7" customFormat="1" ht="28.8" hidden="1" x14ac:dyDescent="0.2">
      <c r="A103" s="472" t="s">
        <v>64</v>
      </c>
      <c r="B103" s="423" t="s">
        <v>392</v>
      </c>
      <c r="C103" s="424" t="s">
        <v>473</v>
      </c>
      <c r="D103" s="425"/>
      <c r="E103" s="425">
        <v>0</v>
      </c>
      <c r="F103" s="425">
        <v>0</v>
      </c>
      <c r="G103" s="425">
        <v>0</v>
      </c>
      <c r="H103" s="425">
        <v>0</v>
      </c>
      <c r="I103" s="425">
        <v>0</v>
      </c>
      <c r="J103" s="425">
        <v>0</v>
      </c>
      <c r="K103" s="425">
        <f t="shared" si="48"/>
        <v>0</v>
      </c>
      <c r="L103" s="508">
        <f t="shared" si="49"/>
        <v>0</v>
      </c>
      <c r="M103" s="526">
        <v>0</v>
      </c>
      <c r="N103" s="425">
        <v>0</v>
      </c>
      <c r="O103" s="425">
        <v>0</v>
      </c>
      <c r="P103" s="425">
        <v>0</v>
      </c>
      <c r="Q103" s="527">
        <v>0</v>
      </c>
      <c r="R103" s="516">
        <f t="shared" si="50"/>
        <v>0</v>
      </c>
      <c r="S103" s="469" t="e">
        <f t="shared" si="39"/>
        <v>#DIV/0!</v>
      </c>
    </row>
    <row r="104" spans="1:19" s="8" customFormat="1" ht="28.8" hidden="1" x14ac:dyDescent="0.2">
      <c r="A104" s="432" t="s">
        <v>64</v>
      </c>
      <c r="B104" s="420" t="s">
        <v>393</v>
      </c>
      <c r="C104" s="654" t="s">
        <v>477</v>
      </c>
      <c r="D104" s="422">
        <f t="shared" ref="D104:R104" si="51">SUM(D105:D106)</f>
        <v>0</v>
      </c>
      <c r="E104" s="422">
        <f t="shared" si="51"/>
        <v>0</v>
      </c>
      <c r="F104" s="422">
        <f t="shared" si="51"/>
        <v>0</v>
      </c>
      <c r="G104" s="422">
        <f t="shared" si="51"/>
        <v>0</v>
      </c>
      <c r="H104" s="422">
        <f t="shared" si="51"/>
        <v>0</v>
      </c>
      <c r="I104" s="422">
        <f t="shared" si="51"/>
        <v>0</v>
      </c>
      <c r="J104" s="422">
        <f t="shared" si="51"/>
        <v>0</v>
      </c>
      <c r="K104" s="422">
        <f t="shared" si="51"/>
        <v>0</v>
      </c>
      <c r="L104" s="507">
        <f t="shared" si="51"/>
        <v>0</v>
      </c>
      <c r="M104" s="524">
        <v>0</v>
      </c>
      <c r="N104" s="422">
        <v>0</v>
      </c>
      <c r="O104" s="422">
        <v>0</v>
      </c>
      <c r="P104" s="422">
        <f t="shared" si="51"/>
        <v>0</v>
      </c>
      <c r="Q104" s="525">
        <f t="shared" si="51"/>
        <v>0</v>
      </c>
      <c r="R104" s="515">
        <f t="shared" si="51"/>
        <v>0</v>
      </c>
      <c r="S104" s="468" t="e">
        <f t="shared" si="39"/>
        <v>#DIV/0!</v>
      </c>
    </row>
    <row r="105" spans="1:19" s="7" customFormat="1" ht="28.8" hidden="1" x14ac:dyDescent="0.2">
      <c r="A105" s="472" t="s">
        <v>64</v>
      </c>
      <c r="B105" s="423" t="s">
        <v>395</v>
      </c>
      <c r="C105" s="424" t="s">
        <v>97</v>
      </c>
      <c r="D105" s="425"/>
      <c r="E105" s="425">
        <v>0</v>
      </c>
      <c r="F105" s="425">
        <v>0</v>
      </c>
      <c r="G105" s="425">
        <v>0</v>
      </c>
      <c r="H105" s="425">
        <v>0</v>
      </c>
      <c r="I105" s="425">
        <v>0</v>
      </c>
      <c r="J105" s="425">
        <v>0</v>
      </c>
      <c r="K105" s="425">
        <f>SUM(E105:J105)</f>
        <v>0</v>
      </c>
      <c r="L105" s="508">
        <f>D105+K105</f>
        <v>0</v>
      </c>
      <c r="M105" s="526">
        <v>0</v>
      </c>
      <c r="N105" s="425">
        <v>0</v>
      </c>
      <c r="O105" s="425">
        <v>0</v>
      </c>
      <c r="P105" s="425">
        <v>0</v>
      </c>
      <c r="Q105" s="527">
        <v>0</v>
      </c>
      <c r="R105" s="516">
        <f t="shared" ref="R105:R106" si="52">L105-Q105</f>
        <v>0</v>
      </c>
      <c r="S105" s="469" t="e">
        <f t="shared" si="39"/>
        <v>#DIV/0!</v>
      </c>
    </row>
    <row r="106" spans="1:19" s="7" customFormat="1" ht="14.4" hidden="1" x14ac:dyDescent="0.2">
      <c r="A106" s="472" t="s">
        <v>64</v>
      </c>
      <c r="B106" s="423" t="s">
        <v>396</v>
      </c>
      <c r="C106" s="424" t="s">
        <v>98</v>
      </c>
      <c r="D106" s="425"/>
      <c r="E106" s="425">
        <v>0</v>
      </c>
      <c r="F106" s="425">
        <v>0</v>
      </c>
      <c r="G106" s="425">
        <v>0</v>
      </c>
      <c r="H106" s="425">
        <v>0</v>
      </c>
      <c r="I106" s="425">
        <v>0</v>
      </c>
      <c r="J106" s="425">
        <v>0</v>
      </c>
      <c r="K106" s="425">
        <f>SUM(E106:J106)</f>
        <v>0</v>
      </c>
      <c r="L106" s="508">
        <f>D106+K106</f>
        <v>0</v>
      </c>
      <c r="M106" s="526">
        <v>0</v>
      </c>
      <c r="N106" s="425">
        <v>0</v>
      </c>
      <c r="O106" s="425">
        <v>0</v>
      </c>
      <c r="P106" s="425">
        <v>0</v>
      </c>
      <c r="Q106" s="527">
        <v>0</v>
      </c>
      <c r="R106" s="516">
        <f t="shared" si="52"/>
        <v>0</v>
      </c>
      <c r="S106" s="469" t="e">
        <f t="shared" si="39"/>
        <v>#DIV/0!</v>
      </c>
    </row>
    <row r="107" spans="1:19" s="8" customFormat="1" ht="28.8" hidden="1" x14ac:dyDescent="0.2">
      <c r="A107" s="432" t="s">
        <v>64</v>
      </c>
      <c r="B107" s="430">
        <v>299</v>
      </c>
      <c r="C107" s="654" t="s">
        <v>474</v>
      </c>
      <c r="D107" s="422">
        <f t="shared" ref="D107:R107" si="53">SUM(D108:D115)</f>
        <v>0</v>
      </c>
      <c r="E107" s="422">
        <f t="shared" si="53"/>
        <v>0</v>
      </c>
      <c r="F107" s="422">
        <f t="shared" si="53"/>
        <v>0</v>
      </c>
      <c r="G107" s="422">
        <f t="shared" si="53"/>
        <v>0</v>
      </c>
      <c r="H107" s="422">
        <f t="shared" si="53"/>
        <v>0</v>
      </c>
      <c r="I107" s="422">
        <f t="shared" si="53"/>
        <v>0</v>
      </c>
      <c r="J107" s="422">
        <f t="shared" si="53"/>
        <v>0</v>
      </c>
      <c r="K107" s="422">
        <f t="shared" si="53"/>
        <v>0</v>
      </c>
      <c r="L107" s="507">
        <f t="shared" si="53"/>
        <v>0</v>
      </c>
      <c r="M107" s="524">
        <v>0</v>
      </c>
      <c r="N107" s="422">
        <v>0</v>
      </c>
      <c r="O107" s="422">
        <v>0</v>
      </c>
      <c r="P107" s="422">
        <f t="shared" si="53"/>
        <v>0</v>
      </c>
      <c r="Q107" s="525">
        <f t="shared" si="53"/>
        <v>0</v>
      </c>
      <c r="R107" s="515">
        <f t="shared" si="53"/>
        <v>0</v>
      </c>
      <c r="S107" s="468" t="e">
        <f t="shared" si="39"/>
        <v>#DIV/0!</v>
      </c>
    </row>
    <row r="108" spans="1:19" s="7" customFormat="1" ht="28.8" hidden="1" x14ac:dyDescent="0.2">
      <c r="A108" s="472" t="s">
        <v>64</v>
      </c>
      <c r="B108" s="423" t="s">
        <v>397</v>
      </c>
      <c r="C108" s="424" t="s">
        <v>99</v>
      </c>
      <c r="D108" s="425"/>
      <c r="E108" s="425">
        <v>0</v>
      </c>
      <c r="F108" s="425">
        <v>0</v>
      </c>
      <c r="G108" s="425">
        <v>0</v>
      </c>
      <c r="H108" s="425">
        <v>0</v>
      </c>
      <c r="I108" s="425">
        <v>0</v>
      </c>
      <c r="J108" s="425">
        <v>0</v>
      </c>
      <c r="K108" s="425">
        <f t="shared" ref="K108:K115" si="54">SUM(E108:J108)</f>
        <v>0</v>
      </c>
      <c r="L108" s="508">
        <f t="shared" ref="L108:L115" si="55">D108+K108</f>
        <v>0</v>
      </c>
      <c r="M108" s="526">
        <v>0</v>
      </c>
      <c r="N108" s="425">
        <v>0</v>
      </c>
      <c r="O108" s="425">
        <v>0</v>
      </c>
      <c r="P108" s="425">
        <v>0</v>
      </c>
      <c r="Q108" s="527">
        <v>0</v>
      </c>
      <c r="R108" s="516">
        <f t="shared" ref="R108:R115" si="56">L108-Q108</f>
        <v>0</v>
      </c>
      <c r="S108" s="469" t="e">
        <f t="shared" si="39"/>
        <v>#DIV/0!</v>
      </c>
    </row>
    <row r="109" spans="1:19" s="8" customFormat="1" ht="28.8" hidden="1" x14ac:dyDescent="0.2">
      <c r="A109" s="472" t="s">
        <v>64</v>
      </c>
      <c r="B109" s="423" t="s">
        <v>398</v>
      </c>
      <c r="C109" s="424" t="s">
        <v>478</v>
      </c>
      <c r="D109" s="425"/>
      <c r="E109" s="425">
        <v>0</v>
      </c>
      <c r="F109" s="425">
        <v>0</v>
      </c>
      <c r="G109" s="425">
        <v>0</v>
      </c>
      <c r="H109" s="425">
        <v>0</v>
      </c>
      <c r="I109" s="425">
        <v>0</v>
      </c>
      <c r="J109" s="425">
        <v>0</v>
      </c>
      <c r="K109" s="425">
        <f t="shared" si="54"/>
        <v>0</v>
      </c>
      <c r="L109" s="508">
        <f t="shared" si="55"/>
        <v>0</v>
      </c>
      <c r="M109" s="526">
        <v>0</v>
      </c>
      <c r="N109" s="425">
        <v>0</v>
      </c>
      <c r="O109" s="425">
        <v>0</v>
      </c>
      <c r="P109" s="425">
        <v>0</v>
      </c>
      <c r="Q109" s="527">
        <v>0</v>
      </c>
      <c r="R109" s="516">
        <f t="shared" si="56"/>
        <v>0</v>
      </c>
      <c r="S109" s="469" t="e">
        <f t="shared" si="39"/>
        <v>#DIV/0!</v>
      </c>
    </row>
    <row r="110" spans="1:19" s="7" customFormat="1" ht="28.8" hidden="1" x14ac:dyDescent="0.2">
      <c r="A110" s="472" t="s">
        <v>64</v>
      </c>
      <c r="B110" s="423" t="s">
        <v>399</v>
      </c>
      <c r="C110" s="424" t="s">
        <v>100</v>
      </c>
      <c r="D110" s="425"/>
      <c r="E110" s="425">
        <v>0</v>
      </c>
      <c r="F110" s="425">
        <v>0</v>
      </c>
      <c r="G110" s="425">
        <v>0</v>
      </c>
      <c r="H110" s="425">
        <v>0</v>
      </c>
      <c r="I110" s="425">
        <v>0</v>
      </c>
      <c r="J110" s="425">
        <v>0</v>
      </c>
      <c r="K110" s="425">
        <f t="shared" si="54"/>
        <v>0</v>
      </c>
      <c r="L110" s="508">
        <f t="shared" si="55"/>
        <v>0</v>
      </c>
      <c r="M110" s="526">
        <v>0</v>
      </c>
      <c r="N110" s="425">
        <v>0</v>
      </c>
      <c r="O110" s="425">
        <v>0</v>
      </c>
      <c r="P110" s="425">
        <v>0</v>
      </c>
      <c r="Q110" s="527">
        <v>0</v>
      </c>
      <c r="R110" s="516">
        <f t="shared" si="56"/>
        <v>0</v>
      </c>
      <c r="S110" s="469" t="e">
        <f t="shared" si="39"/>
        <v>#DIV/0!</v>
      </c>
    </row>
    <row r="111" spans="1:19" s="7" customFormat="1" ht="14.4" hidden="1" x14ac:dyDescent="0.2">
      <c r="A111" s="472" t="s">
        <v>64</v>
      </c>
      <c r="B111" s="423" t="s">
        <v>400</v>
      </c>
      <c r="C111" s="424" t="s">
        <v>101</v>
      </c>
      <c r="D111" s="425"/>
      <c r="E111" s="425">
        <v>0</v>
      </c>
      <c r="F111" s="425">
        <v>0</v>
      </c>
      <c r="G111" s="425">
        <v>0</v>
      </c>
      <c r="H111" s="425">
        <v>0</v>
      </c>
      <c r="I111" s="425">
        <v>0</v>
      </c>
      <c r="J111" s="425">
        <v>0</v>
      </c>
      <c r="K111" s="425">
        <f t="shared" si="54"/>
        <v>0</v>
      </c>
      <c r="L111" s="508">
        <f t="shared" si="55"/>
        <v>0</v>
      </c>
      <c r="M111" s="526">
        <v>0</v>
      </c>
      <c r="N111" s="425">
        <v>0</v>
      </c>
      <c r="O111" s="425">
        <v>0</v>
      </c>
      <c r="P111" s="425">
        <v>0</v>
      </c>
      <c r="Q111" s="527">
        <v>0</v>
      </c>
      <c r="R111" s="516">
        <f t="shared" si="56"/>
        <v>0</v>
      </c>
      <c r="S111" s="469" t="e">
        <f t="shared" si="39"/>
        <v>#DIV/0!</v>
      </c>
    </row>
    <row r="112" spans="1:19" s="7" customFormat="1" ht="28.8" hidden="1" x14ac:dyDescent="0.2">
      <c r="A112" s="472" t="s">
        <v>64</v>
      </c>
      <c r="B112" s="423" t="s">
        <v>401</v>
      </c>
      <c r="C112" s="424" t="s">
        <v>102</v>
      </c>
      <c r="D112" s="425"/>
      <c r="E112" s="425">
        <v>0</v>
      </c>
      <c r="F112" s="425">
        <v>0</v>
      </c>
      <c r="G112" s="425">
        <v>0</v>
      </c>
      <c r="H112" s="425">
        <v>0</v>
      </c>
      <c r="I112" s="425">
        <v>0</v>
      </c>
      <c r="J112" s="425">
        <v>0</v>
      </c>
      <c r="K112" s="425">
        <f t="shared" si="54"/>
        <v>0</v>
      </c>
      <c r="L112" s="508">
        <f t="shared" si="55"/>
        <v>0</v>
      </c>
      <c r="M112" s="526">
        <v>0</v>
      </c>
      <c r="N112" s="425">
        <v>0</v>
      </c>
      <c r="O112" s="425">
        <v>0</v>
      </c>
      <c r="P112" s="425">
        <v>0</v>
      </c>
      <c r="Q112" s="527">
        <v>0</v>
      </c>
      <c r="R112" s="516">
        <f t="shared" si="56"/>
        <v>0</v>
      </c>
      <c r="S112" s="469" t="e">
        <f t="shared" si="39"/>
        <v>#DIV/0!</v>
      </c>
    </row>
    <row r="113" spans="1:19" s="8" customFormat="1" ht="28.8" hidden="1" x14ac:dyDescent="0.2">
      <c r="A113" s="472" t="s">
        <v>64</v>
      </c>
      <c r="B113" s="423" t="s">
        <v>402</v>
      </c>
      <c r="C113" s="424" t="s">
        <v>403</v>
      </c>
      <c r="D113" s="425"/>
      <c r="E113" s="425">
        <v>0</v>
      </c>
      <c r="F113" s="425">
        <v>0</v>
      </c>
      <c r="G113" s="425">
        <v>0</v>
      </c>
      <c r="H113" s="425">
        <v>0</v>
      </c>
      <c r="I113" s="425">
        <v>0</v>
      </c>
      <c r="J113" s="425">
        <v>0</v>
      </c>
      <c r="K113" s="425">
        <f t="shared" si="54"/>
        <v>0</v>
      </c>
      <c r="L113" s="508">
        <f t="shared" si="55"/>
        <v>0</v>
      </c>
      <c r="M113" s="526">
        <v>0</v>
      </c>
      <c r="N113" s="425">
        <v>0</v>
      </c>
      <c r="O113" s="425">
        <v>0</v>
      </c>
      <c r="P113" s="425">
        <v>0</v>
      </c>
      <c r="Q113" s="527">
        <v>0</v>
      </c>
      <c r="R113" s="516">
        <f t="shared" si="56"/>
        <v>0</v>
      </c>
      <c r="S113" s="469" t="e">
        <f t="shared" si="39"/>
        <v>#DIV/0!</v>
      </c>
    </row>
    <row r="114" spans="1:19" s="7" customFormat="1" ht="28.8" hidden="1" x14ac:dyDescent="0.2">
      <c r="A114" s="472" t="s">
        <v>64</v>
      </c>
      <c r="B114" s="423" t="s">
        <v>404</v>
      </c>
      <c r="C114" s="424" t="s">
        <v>103</v>
      </c>
      <c r="D114" s="425"/>
      <c r="E114" s="425">
        <v>0</v>
      </c>
      <c r="F114" s="425">
        <v>0</v>
      </c>
      <c r="G114" s="425">
        <v>0</v>
      </c>
      <c r="H114" s="425">
        <v>0</v>
      </c>
      <c r="I114" s="425">
        <v>0</v>
      </c>
      <c r="J114" s="425">
        <v>0</v>
      </c>
      <c r="K114" s="425">
        <f t="shared" si="54"/>
        <v>0</v>
      </c>
      <c r="L114" s="508">
        <f t="shared" si="55"/>
        <v>0</v>
      </c>
      <c r="M114" s="526">
        <v>0</v>
      </c>
      <c r="N114" s="425">
        <v>0</v>
      </c>
      <c r="O114" s="425">
        <v>0</v>
      </c>
      <c r="P114" s="425">
        <v>0</v>
      </c>
      <c r="Q114" s="527">
        <v>0</v>
      </c>
      <c r="R114" s="516">
        <f t="shared" si="56"/>
        <v>0</v>
      </c>
      <c r="S114" s="469" t="e">
        <f t="shared" si="39"/>
        <v>#DIV/0!</v>
      </c>
    </row>
    <row r="115" spans="1:19" s="7" customFormat="1" ht="28.8" hidden="1" x14ac:dyDescent="0.2">
      <c r="A115" s="472" t="s">
        <v>64</v>
      </c>
      <c r="B115" s="423" t="s">
        <v>405</v>
      </c>
      <c r="C115" s="424" t="s">
        <v>479</v>
      </c>
      <c r="D115" s="425"/>
      <c r="E115" s="425">
        <v>0</v>
      </c>
      <c r="F115" s="425">
        <v>0</v>
      </c>
      <c r="G115" s="425">
        <v>0</v>
      </c>
      <c r="H115" s="425">
        <v>0</v>
      </c>
      <c r="I115" s="425">
        <v>0</v>
      </c>
      <c r="J115" s="425">
        <v>0</v>
      </c>
      <c r="K115" s="425">
        <f t="shared" si="54"/>
        <v>0</v>
      </c>
      <c r="L115" s="508">
        <f t="shared" si="55"/>
        <v>0</v>
      </c>
      <c r="M115" s="526">
        <v>0</v>
      </c>
      <c r="N115" s="425">
        <v>0</v>
      </c>
      <c r="O115" s="425">
        <v>0</v>
      </c>
      <c r="P115" s="425">
        <v>0</v>
      </c>
      <c r="Q115" s="527">
        <v>0</v>
      </c>
      <c r="R115" s="516">
        <f t="shared" si="56"/>
        <v>0</v>
      </c>
      <c r="S115" s="469" t="e">
        <f t="shared" si="39"/>
        <v>#DIV/0!</v>
      </c>
    </row>
    <row r="116" spans="1:19" s="8" customFormat="1" ht="14.4" x14ac:dyDescent="0.3">
      <c r="A116" s="492"/>
      <c r="B116" s="429"/>
      <c r="C116" s="654"/>
      <c r="D116" s="495"/>
      <c r="E116" s="495"/>
      <c r="F116" s="495"/>
      <c r="G116" s="495"/>
      <c r="H116" s="495"/>
      <c r="I116" s="495"/>
      <c r="J116" s="495"/>
      <c r="K116" s="495"/>
      <c r="L116" s="543"/>
      <c r="M116" s="649"/>
      <c r="N116" s="495"/>
      <c r="O116" s="495"/>
      <c r="P116" s="495"/>
      <c r="Q116" s="650"/>
      <c r="R116" s="544"/>
      <c r="S116" s="469"/>
    </row>
    <row r="117" spans="1:19" s="8" customFormat="1" ht="14.4" x14ac:dyDescent="0.2">
      <c r="A117" s="496"/>
      <c r="B117" s="439" t="s">
        <v>406</v>
      </c>
      <c r="C117" s="655" t="s">
        <v>104</v>
      </c>
      <c r="D117" s="441">
        <f t="shared" ref="D117:R117" si="57">SUM(D118+D124+D126+D128)</f>
        <v>34000000</v>
      </c>
      <c r="E117" s="441">
        <f t="shared" si="57"/>
        <v>0</v>
      </c>
      <c r="F117" s="441">
        <f t="shared" si="57"/>
        <v>-34000000</v>
      </c>
      <c r="G117" s="441">
        <f t="shared" si="57"/>
        <v>0</v>
      </c>
      <c r="H117" s="441">
        <f t="shared" si="57"/>
        <v>0</v>
      </c>
      <c r="I117" s="441">
        <f t="shared" si="57"/>
        <v>0</v>
      </c>
      <c r="J117" s="441">
        <f t="shared" si="57"/>
        <v>0</v>
      </c>
      <c r="K117" s="441">
        <f t="shared" si="57"/>
        <v>-34000000</v>
      </c>
      <c r="L117" s="510">
        <f t="shared" si="57"/>
        <v>0</v>
      </c>
      <c r="M117" s="530">
        <v>0</v>
      </c>
      <c r="N117" s="441">
        <v>0</v>
      </c>
      <c r="O117" s="441">
        <v>0</v>
      </c>
      <c r="P117" s="441">
        <f t="shared" si="57"/>
        <v>0</v>
      </c>
      <c r="Q117" s="531">
        <f t="shared" si="57"/>
        <v>0</v>
      </c>
      <c r="R117" s="518">
        <f t="shared" si="57"/>
        <v>0</v>
      </c>
      <c r="S117" s="467" t="e">
        <f t="shared" si="39"/>
        <v>#DIV/0!</v>
      </c>
    </row>
    <row r="118" spans="1:19" s="8" customFormat="1" ht="28.8" hidden="1" x14ac:dyDescent="0.2">
      <c r="A118" s="432" t="s">
        <v>105</v>
      </c>
      <c r="B118" s="420" t="s">
        <v>407</v>
      </c>
      <c r="C118" s="654" t="s">
        <v>408</v>
      </c>
      <c r="D118" s="422">
        <f t="shared" ref="D118:R118" si="58">SUM(D119:D123)</f>
        <v>0</v>
      </c>
      <c r="E118" s="422">
        <f t="shared" si="58"/>
        <v>0</v>
      </c>
      <c r="F118" s="422">
        <f t="shared" si="58"/>
        <v>0</v>
      </c>
      <c r="G118" s="422">
        <f t="shared" si="58"/>
        <v>0</v>
      </c>
      <c r="H118" s="422">
        <f t="shared" si="58"/>
        <v>0</v>
      </c>
      <c r="I118" s="422">
        <f t="shared" si="58"/>
        <v>0</v>
      </c>
      <c r="J118" s="422">
        <f t="shared" si="58"/>
        <v>0</v>
      </c>
      <c r="K118" s="422">
        <f t="shared" si="58"/>
        <v>0</v>
      </c>
      <c r="L118" s="507">
        <f t="shared" si="58"/>
        <v>0</v>
      </c>
      <c r="M118" s="524">
        <v>0</v>
      </c>
      <c r="N118" s="422">
        <v>0</v>
      </c>
      <c r="O118" s="422">
        <v>0</v>
      </c>
      <c r="P118" s="422">
        <f t="shared" si="58"/>
        <v>0</v>
      </c>
      <c r="Q118" s="525">
        <f t="shared" si="58"/>
        <v>0</v>
      </c>
      <c r="R118" s="515">
        <f t="shared" si="58"/>
        <v>0</v>
      </c>
      <c r="S118" s="468" t="e">
        <f t="shared" si="39"/>
        <v>#DIV/0!</v>
      </c>
    </row>
    <row r="119" spans="1:19" s="7" customFormat="1" ht="14.4" hidden="1" x14ac:dyDescent="0.2">
      <c r="A119" s="492" t="s">
        <v>105</v>
      </c>
      <c r="B119" s="423" t="s">
        <v>409</v>
      </c>
      <c r="C119" s="424" t="s">
        <v>106</v>
      </c>
      <c r="D119" s="425"/>
      <c r="E119" s="425">
        <v>0</v>
      </c>
      <c r="F119" s="425">
        <v>0</v>
      </c>
      <c r="G119" s="425">
        <v>0</v>
      </c>
      <c r="H119" s="425">
        <v>0</v>
      </c>
      <c r="I119" s="425">
        <v>0</v>
      </c>
      <c r="J119" s="425">
        <v>0</v>
      </c>
      <c r="K119" s="425">
        <f>SUM(E119:J119)</f>
        <v>0</v>
      </c>
      <c r="L119" s="508">
        <f>D119+K119</f>
        <v>0</v>
      </c>
      <c r="M119" s="526">
        <v>0</v>
      </c>
      <c r="N119" s="425">
        <v>0</v>
      </c>
      <c r="O119" s="425">
        <v>0</v>
      </c>
      <c r="P119" s="425">
        <v>0</v>
      </c>
      <c r="Q119" s="527">
        <v>0</v>
      </c>
      <c r="R119" s="516">
        <f t="shared" ref="R119" si="59">L119-Q119</f>
        <v>0</v>
      </c>
      <c r="S119" s="469" t="e">
        <f t="shared" si="39"/>
        <v>#DIV/0!</v>
      </c>
    </row>
    <row r="120" spans="1:19" s="7" customFormat="1" ht="28.8" hidden="1" x14ac:dyDescent="0.2">
      <c r="A120" s="492" t="s">
        <v>105</v>
      </c>
      <c r="B120" s="423" t="s">
        <v>410</v>
      </c>
      <c r="C120" s="424" t="s">
        <v>107</v>
      </c>
      <c r="D120" s="425"/>
      <c r="E120" s="425">
        <v>0</v>
      </c>
      <c r="F120" s="425">
        <v>0</v>
      </c>
      <c r="G120" s="425">
        <v>0</v>
      </c>
      <c r="H120" s="425">
        <v>0</v>
      </c>
      <c r="I120" s="425">
        <v>0</v>
      </c>
      <c r="J120" s="425">
        <v>0</v>
      </c>
      <c r="K120" s="425">
        <f>SUM(E120:J120)</f>
        <v>0</v>
      </c>
      <c r="L120" s="508">
        <f>D120+K120</f>
        <v>0</v>
      </c>
      <c r="M120" s="526">
        <v>0</v>
      </c>
      <c r="N120" s="425">
        <v>0</v>
      </c>
      <c r="O120" s="425">
        <v>0</v>
      </c>
      <c r="P120" s="425">
        <v>0</v>
      </c>
      <c r="Q120" s="527">
        <v>0</v>
      </c>
      <c r="R120" s="516">
        <f t="shared" ref="R120:R123" si="60">L120-Q120</f>
        <v>0</v>
      </c>
      <c r="S120" s="469" t="e">
        <f t="shared" si="39"/>
        <v>#DIV/0!</v>
      </c>
    </row>
    <row r="121" spans="1:19" s="7" customFormat="1" ht="28.8" hidden="1" x14ac:dyDescent="0.2">
      <c r="A121" s="492" t="s">
        <v>105</v>
      </c>
      <c r="B121" s="423" t="s">
        <v>411</v>
      </c>
      <c r="C121" s="424" t="s">
        <v>412</v>
      </c>
      <c r="D121" s="425"/>
      <c r="E121" s="425">
        <v>0</v>
      </c>
      <c r="F121" s="425">
        <v>0</v>
      </c>
      <c r="G121" s="425">
        <v>0</v>
      </c>
      <c r="H121" s="425">
        <v>0</v>
      </c>
      <c r="I121" s="425">
        <v>0</v>
      </c>
      <c r="J121" s="425">
        <v>0</v>
      </c>
      <c r="K121" s="425">
        <f>SUM(E121:J121)</f>
        <v>0</v>
      </c>
      <c r="L121" s="508">
        <f>D121+K121</f>
        <v>0</v>
      </c>
      <c r="M121" s="526">
        <v>0</v>
      </c>
      <c r="N121" s="425">
        <v>0</v>
      </c>
      <c r="O121" s="425">
        <v>0</v>
      </c>
      <c r="P121" s="425">
        <v>0</v>
      </c>
      <c r="Q121" s="527">
        <v>0</v>
      </c>
      <c r="R121" s="516">
        <f t="shared" si="60"/>
        <v>0</v>
      </c>
      <c r="S121" s="469" t="e">
        <f t="shared" si="39"/>
        <v>#DIV/0!</v>
      </c>
    </row>
    <row r="122" spans="1:19" s="7" customFormat="1" ht="28.8" hidden="1" x14ac:dyDescent="0.2">
      <c r="A122" s="492" t="s">
        <v>105</v>
      </c>
      <c r="B122" s="423" t="s">
        <v>413</v>
      </c>
      <c r="C122" s="424" t="s">
        <v>480</v>
      </c>
      <c r="D122" s="425"/>
      <c r="E122" s="425">
        <v>0</v>
      </c>
      <c r="F122" s="425">
        <v>0</v>
      </c>
      <c r="G122" s="425">
        <v>0</v>
      </c>
      <c r="H122" s="425">
        <v>0</v>
      </c>
      <c r="I122" s="425">
        <v>0</v>
      </c>
      <c r="J122" s="425">
        <v>0</v>
      </c>
      <c r="K122" s="425">
        <f>SUM(E122:J122)</f>
        <v>0</v>
      </c>
      <c r="L122" s="508">
        <f>D122+K122</f>
        <v>0</v>
      </c>
      <c r="M122" s="526">
        <v>0</v>
      </c>
      <c r="N122" s="425">
        <v>0</v>
      </c>
      <c r="O122" s="425">
        <v>0</v>
      </c>
      <c r="P122" s="425">
        <v>0</v>
      </c>
      <c r="Q122" s="527">
        <v>0</v>
      </c>
      <c r="R122" s="516">
        <f t="shared" si="60"/>
        <v>0</v>
      </c>
      <c r="S122" s="469" t="e">
        <f t="shared" si="39"/>
        <v>#DIV/0!</v>
      </c>
    </row>
    <row r="123" spans="1:19" s="7" customFormat="1" ht="28.8" hidden="1" x14ac:dyDescent="0.2">
      <c r="A123" s="492" t="s">
        <v>105</v>
      </c>
      <c r="B123" s="423" t="s">
        <v>414</v>
      </c>
      <c r="C123" s="424" t="s">
        <v>108</v>
      </c>
      <c r="D123" s="425"/>
      <c r="E123" s="425">
        <v>0</v>
      </c>
      <c r="F123" s="425">
        <v>0</v>
      </c>
      <c r="G123" s="425">
        <v>0</v>
      </c>
      <c r="H123" s="425">
        <v>0</v>
      </c>
      <c r="I123" s="425">
        <v>0</v>
      </c>
      <c r="J123" s="425">
        <v>0</v>
      </c>
      <c r="K123" s="425">
        <f>SUM(E123:J123)</f>
        <v>0</v>
      </c>
      <c r="L123" s="508">
        <f>D123+K123</f>
        <v>0</v>
      </c>
      <c r="M123" s="526">
        <v>0</v>
      </c>
      <c r="N123" s="425">
        <v>0</v>
      </c>
      <c r="O123" s="425">
        <v>0</v>
      </c>
      <c r="P123" s="425">
        <v>0</v>
      </c>
      <c r="Q123" s="527">
        <v>0</v>
      </c>
      <c r="R123" s="516">
        <f t="shared" si="60"/>
        <v>0</v>
      </c>
      <c r="S123" s="469" t="e">
        <f t="shared" si="39"/>
        <v>#DIV/0!</v>
      </c>
    </row>
    <row r="124" spans="1:19" s="8" customFormat="1" ht="28.8" hidden="1" x14ac:dyDescent="0.2">
      <c r="A124" s="432">
        <v>2.1</v>
      </c>
      <c r="B124" s="420" t="s">
        <v>415</v>
      </c>
      <c r="C124" s="654" t="s">
        <v>416</v>
      </c>
      <c r="D124" s="422">
        <f t="shared" ref="D124:R124" si="61">SUM(D125)</f>
        <v>0</v>
      </c>
      <c r="E124" s="422">
        <f t="shared" si="61"/>
        <v>0</v>
      </c>
      <c r="F124" s="422">
        <f t="shared" si="61"/>
        <v>0</v>
      </c>
      <c r="G124" s="422">
        <f t="shared" si="61"/>
        <v>0</v>
      </c>
      <c r="H124" s="422">
        <f t="shared" si="61"/>
        <v>0</v>
      </c>
      <c r="I124" s="422">
        <f t="shared" si="61"/>
        <v>0</v>
      </c>
      <c r="J124" s="422">
        <f t="shared" si="61"/>
        <v>0</v>
      </c>
      <c r="K124" s="422">
        <f t="shared" si="61"/>
        <v>0</v>
      </c>
      <c r="L124" s="507">
        <f t="shared" si="61"/>
        <v>0</v>
      </c>
      <c r="M124" s="524">
        <v>0</v>
      </c>
      <c r="N124" s="422">
        <v>0</v>
      </c>
      <c r="O124" s="422">
        <v>0</v>
      </c>
      <c r="P124" s="422">
        <f t="shared" si="61"/>
        <v>0</v>
      </c>
      <c r="Q124" s="525">
        <f t="shared" si="61"/>
        <v>0</v>
      </c>
      <c r="R124" s="515">
        <f t="shared" si="61"/>
        <v>0</v>
      </c>
      <c r="S124" s="468" t="e">
        <f t="shared" si="39"/>
        <v>#DIV/0!</v>
      </c>
    </row>
    <row r="125" spans="1:19" s="7" customFormat="1" ht="14.4" hidden="1" x14ac:dyDescent="0.2">
      <c r="A125" s="492" t="s">
        <v>109</v>
      </c>
      <c r="B125" s="423" t="s">
        <v>417</v>
      </c>
      <c r="C125" s="424" t="s">
        <v>110</v>
      </c>
      <c r="D125" s="425"/>
      <c r="E125" s="425">
        <v>0</v>
      </c>
      <c r="F125" s="425">
        <v>0</v>
      </c>
      <c r="G125" s="425">
        <v>0</v>
      </c>
      <c r="H125" s="425">
        <v>0</v>
      </c>
      <c r="I125" s="425">
        <v>0</v>
      </c>
      <c r="J125" s="425">
        <v>0</v>
      </c>
      <c r="K125" s="425">
        <f>SUM(E125:J125)</f>
        <v>0</v>
      </c>
      <c r="L125" s="508">
        <f>D125+K125</f>
        <v>0</v>
      </c>
      <c r="M125" s="526">
        <v>0</v>
      </c>
      <c r="N125" s="425">
        <v>0</v>
      </c>
      <c r="O125" s="425">
        <v>0</v>
      </c>
      <c r="P125" s="425">
        <v>0</v>
      </c>
      <c r="Q125" s="527">
        <v>0</v>
      </c>
      <c r="R125" s="516">
        <f t="shared" ref="R125" si="62">L125-Q125</f>
        <v>0</v>
      </c>
      <c r="S125" s="469" t="e">
        <f t="shared" si="39"/>
        <v>#DIV/0!</v>
      </c>
    </row>
    <row r="126" spans="1:19" s="8" customFormat="1" ht="14.4" hidden="1" x14ac:dyDescent="0.2">
      <c r="A126" s="432" t="s">
        <v>448</v>
      </c>
      <c r="B126" s="420" t="s">
        <v>418</v>
      </c>
      <c r="C126" s="654" t="s">
        <v>419</v>
      </c>
      <c r="D126" s="422">
        <f t="shared" ref="D126:R126" si="63">SUM(D127)</f>
        <v>0</v>
      </c>
      <c r="E126" s="422">
        <f t="shared" si="63"/>
        <v>0</v>
      </c>
      <c r="F126" s="422">
        <f t="shared" si="63"/>
        <v>0</v>
      </c>
      <c r="G126" s="422">
        <f t="shared" si="63"/>
        <v>0</v>
      </c>
      <c r="H126" s="422">
        <f t="shared" si="63"/>
        <v>0</v>
      </c>
      <c r="I126" s="422">
        <f t="shared" si="63"/>
        <v>0</v>
      </c>
      <c r="J126" s="422">
        <f t="shared" si="63"/>
        <v>0</v>
      </c>
      <c r="K126" s="422">
        <f t="shared" si="63"/>
        <v>0</v>
      </c>
      <c r="L126" s="507">
        <f t="shared" si="63"/>
        <v>0</v>
      </c>
      <c r="M126" s="524">
        <v>0</v>
      </c>
      <c r="N126" s="422">
        <v>0</v>
      </c>
      <c r="O126" s="422">
        <v>0</v>
      </c>
      <c r="P126" s="422">
        <f t="shared" si="63"/>
        <v>0</v>
      </c>
      <c r="Q126" s="525">
        <f t="shared" si="63"/>
        <v>0</v>
      </c>
      <c r="R126" s="515">
        <f t="shared" si="63"/>
        <v>0</v>
      </c>
      <c r="S126" s="468" t="e">
        <f t="shared" si="39"/>
        <v>#DIV/0!</v>
      </c>
    </row>
    <row r="127" spans="1:19" s="7" customFormat="1" ht="14.4" hidden="1" x14ac:dyDescent="0.2">
      <c r="A127" s="492" t="s">
        <v>448</v>
      </c>
      <c r="B127" s="423" t="s">
        <v>420</v>
      </c>
      <c r="C127" s="424" t="s">
        <v>111</v>
      </c>
      <c r="D127" s="425">
        <v>0</v>
      </c>
      <c r="E127" s="425">
        <v>0</v>
      </c>
      <c r="F127" s="425">
        <v>0</v>
      </c>
      <c r="G127" s="425">
        <v>0</v>
      </c>
      <c r="H127" s="425">
        <v>0</v>
      </c>
      <c r="I127" s="425">
        <v>0</v>
      </c>
      <c r="J127" s="425">
        <v>0</v>
      </c>
      <c r="K127" s="425">
        <f>SUM(E127:J127)</f>
        <v>0</v>
      </c>
      <c r="L127" s="508">
        <f>D127+K127</f>
        <v>0</v>
      </c>
      <c r="M127" s="526">
        <v>0</v>
      </c>
      <c r="N127" s="425">
        <v>0</v>
      </c>
      <c r="O127" s="425">
        <v>0</v>
      </c>
      <c r="P127" s="425">
        <v>0</v>
      </c>
      <c r="Q127" s="527">
        <v>0</v>
      </c>
      <c r="R127" s="516">
        <f t="shared" ref="R127" si="64">L127-Q127</f>
        <v>0</v>
      </c>
      <c r="S127" s="469" t="e">
        <f t="shared" si="39"/>
        <v>#DIV/0!</v>
      </c>
    </row>
    <row r="128" spans="1:19" s="8" customFormat="1" ht="28.8" x14ac:dyDescent="0.3">
      <c r="A128" s="432" t="s">
        <v>112</v>
      </c>
      <c r="B128" s="420" t="s">
        <v>421</v>
      </c>
      <c r="C128" s="654" t="s">
        <v>422</v>
      </c>
      <c r="D128" s="431">
        <f t="shared" ref="D128:R128" si="65">SUM(D129)</f>
        <v>34000000</v>
      </c>
      <c r="E128" s="431">
        <f t="shared" si="65"/>
        <v>0</v>
      </c>
      <c r="F128" s="431">
        <f t="shared" si="65"/>
        <v>-34000000</v>
      </c>
      <c r="G128" s="431">
        <f t="shared" si="65"/>
        <v>0</v>
      </c>
      <c r="H128" s="431">
        <f t="shared" si="65"/>
        <v>0</v>
      </c>
      <c r="I128" s="431">
        <f t="shared" si="65"/>
        <v>0</v>
      </c>
      <c r="J128" s="431">
        <f t="shared" si="65"/>
        <v>0</v>
      </c>
      <c r="K128" s="431">
        <f t="shared" si="65"/>
        <v>-34000000</v>
      </c>
      <c r="L128" s="511">
        <f t="shared" si="65"/>
        <v>0</v>
      </c>
      <c r="M128" s="651">
        <v>0</v>
      </c>
      <c r="N128" s="431">
        <v>0</v>
      </c>
      <c r="O128" s="431">
        <v>0</v>
      </c>
      <c r="P128" s="431">
        <f t="shared" si="65"/>
        <v>0</v>
      </c>
      <c r="Q128" s="652">
        <f t="shared" si="65"/>
        <v>0</v>
      </c>
      <c r="R128" s="519">
        <f t="shared" si="65"/>
        <v>0</v>
      </c>
      <c r="S128" s="468" t="e">
        <f t="shared" si="39"/>
        <v>#DIV/0!</v>
      </c>
    </row>
    <row r="129" spans="1:26" s="8" customFormat="1" ht="14.4" x14ac:dyDescent="0.2">
      <c r="A129" s="492" t="s">
        <v>112</v>
      </c>
      <c r="B129" s="423" t="s">
        <v>423</v>
      </c>
      <c r="C129" s="424" t="s">
        <v>113</v>
      </c>
      <c r="D129" s="425">
        <v>34000000</v>
      </c>
      <c r="E129" s="425">
        <v>0</v>
      </c>
      <c r="F129" s="425">
        <v>-34000000</v>
      </c>
      <c r="G129" s="425">
        <v>0</v>
      </c>
      <c r="H129" s="425">
        <v>0</v>
      </c>
      <c r="I129" s="425">
        <v>0</v>
      </c>
      <c r="J129" s="425">
        <v>0</v>
      </c>
      <c r="K129" s="425">
        <f>SUM(E129:J129)</f>
        <v>-34000000</v>
      </c>
      <c r="L129" s="508">
        <f>D129+K129</f>
        <v>0</v>
      </c>
      <c r="M129" s="526">
        <v>0</v>
      </c>
      <c r="N129" s="425">
        <v>0</v>
      </c>
      <c r="O129" s="425">
        <v>0</v>
      </c>
      <c r="P129" s="425">
        <f>Q129-M129-N129-O129</f>
        <v>0</v>
      </c>
      <c r="Q129" s="527">
        <v>0</v>
      </c>
      <c r="R129" s="516">
        <f t="shared" ref="R129" si="66">L129-Q129</f>
        <v>0</v>
      </c>
      <c r="S129" s="469" t="e">
        <f t="shared" si="39"/>
        <v>#DIV/0!</v>
      </c>
    </row>
    <row r="130" spans="1:26" s="8" customFormat="1" ht="14.4" x14ac:dyDescent="0.2">
      <c r="A130" s="492"/>
      <c r="B130" s="423"/>
      <c r="C130" s="424"/>
      <c r="D130" s="425"/>
      <c r="E130" s="425"/>
      <c r="F130" s="425"/>
      <c r="G130" s="425"/>
      <c r="H130" s="425"/>
      <c r="I130" s="425"/>
      <c r="J130" s="425"/>
      <c r="K130" s="425"/>
      <c r="L130" s="508"/>
      <c r="M130" s="526"/>
      <c r="N130" s="425"/>
      <c r="O130" s="425"/>
      <c r="P130" s="425"/>
      <c r="Q130" s="527"/>
      <c r="R130" s="516"/>
      <c r="S130" s="469"/>
    </row>
    <row r="131" spans="1:26" s="8" customFormat="1" ht="28.8" x14ac:dyDescent="0.2">
      <c r="A131" s="437">
        <v>1.3</v>
      </c>
      <c r="B131" s="439" t="s">
        <v>424</v>
      </c>
      <c r="C131" s="656" t="s">
        <v>26</v>
      </c>
      <c r="D131" s="440">
        <f>SUM(D132+D134+D137+D140+D142+D144)</f>
        <v>100000000</v>
      </c>
      <c r="E131" s="440">
        <f t="shared" ref="E131:R131" si="67">SUM(E132+E134+E137+E140+E142+E144)</f>
        <v>0</v>
      </c>
      <c r="F131" s="440">
        <f t="shared" si="67"/>
        <v>0</v>
      </c>
      <c r="G131" s="440">
        <f t="shared" si="67"/>
        <v>0</v>
      </c>
      <c r="H131" s="440">
        <f t="shared" si="67"/>
        <v>0</v>
      </c>
      <c r="I131" s="440">
        <f t="shared" si="67"/>
        <v>0</v>
      </c>
      <c r="J131" s="440">
        <f t="shared" si="67"/>
        <v>0</v>
      </c>
      <c r="K131" s="440">
        <f t="shared" si="67"/>
        <v>0</v>
      </c>
      <c r="L131" s="506">
        <f t="shared" si="67"/>
        <v>100000000</v>
      </c>
      <c r="M131" s="522">
        <v>4477047.5599999996</v>
      </c>
      <c r="N131" s="440">
        <v>897680.28000000026</v>
      </c>
      <c r="O131" s="440">
        <v>2183148.5</v>
      </c>
      <c r="P131" s="440">
        <f t="shared" si="67"/>
        <v>1511892.1799999997</v>
      </c>
      <c r="Q131" s="523">
        <f t="shared" si="67"/>
        <v>9069768.5199999996</v>
      </c>
      <c r="R131" s="514">
        <f t="shared" si="67"/>
        <v>90930231.480000004</v>
      </c>
      <c r="S131" s="467">
        <f t="shared" si="39"/>
        <v>9.0697685199999989E-2</v>
      </c>
    </row>
    <row r="132" spans="1:26" s="8" customFormat="1" ht="28.8" hidden="1" x14ac:dyDescent="0.2">
      <c r="A132" s="432" t="s">
        <v>85</v>
      </c>
      <c r="B132" s="420" t="s">
        <v>425</v>
      </c>
      <c r="C132" s="654" t="s">
        <v>481</v>
      </c>
      <c r="D132" s="422">
        <f t="shared" ref="D132:R132" si="68">SUM(D133)</f>
        <v>0</v>
      </c>
      <c r="E132" s="422">
        <f t="shared" si="68"/>
        <v>0</v>
      </c>
      <c r="F132" s="422">
        <f t="shared" si="68"/>
        <v>0</v>
      </c>
      <c r="G132" s="422">
        <f t="shared" si="68"/>
        <v>0</v>
      </c>
      <c r="H132" s="422">
        <f t="shared" si="68"/>
        <v>0</v>
      </c>
      <c r="I132" s="422">
        <f t="shared" si="68"/>
        <v>0</v>
      </c>
      <c r="J132" s="422">
        <f t="shared" si="68"/>
        <v>0</v>
      </c>
      <c r="K132" s="422">
        <f t="shared" si="68"/>
        <v>0</v>
      </c>
      <c r="L132" s="507">
        <f t="shared" si="68"/>
        <v>0</v>
      </c>
      <c r="M132" s="524">
        <v>0</v>
      </c>
      <c r="N132" s="422">
        <v>0</v>
      </c>
      <c r="O132" s="422">
        <v>0</v>
      </c>
      <c r="P132" s="422">
        <f t="shared" si="68"/>
        <v>0</v>
      </c>
      <c r="Q132" s="525">
        <f t="shared" si="68"/>
        <v>0</v>
      </c>
      <c r="R132" s="515">
        <f t="shared" si="68"/>
        <v>0</v>
      </c>
      <c r="S132" s="468" t="e">
        <f t="shared" si="39"/>
        <v>#DIV/0!</v>
      </c>
    </row>
    <row r="133" spans="1:26" s="8" customFormat="1" ht="28.8" hidden="1" x14ac:dyDescent="0.2">
      <c r="A133" s="492" t="s">
        <v>85</v>
      </c>
      <c r="B133" s="423" t="s">
        <v>426</v>
      </c>
      <c r="C133" s="424" t="s">
        <v>482</v>
      </c>
      <c r="D133" s="425"/>
      <c r="E133" s="425">
        <v>0</v>
      </c>
      <c r="F133" s="425">
        <v>0</v>
      </c>
      <c r="G133" s="425">
        <v>0</v>
      </c>
      <c r="H133" s="425">
        <v>0</v>
      </c>
      <c r="I133" s="425">
        <v>0</v>
      </c>
      <c r="J133" s="425">
        <v>0</v>
      </c>
      <c r="K133" s="425">
        <f>SUM(E133:J133)</f>
        <v>0</v>
      </c>
      <c r="L133" s="508">
        <f>D133+K133</f>
        <v>0</v>
      </c>
      <c r="M133" s="526">
        <v>0</v>
      </c>
      <c r="N133" s="425">
        <v>0</v>
      </c>
      <c r="O133" s="425">
        <v>0</v>
      </c>
      <c r="P133" s="425">
        <v>0</v>
      </c>
      <c r="Q133" s="527">
        <v>0</v>
      </c>
      <c r="R133" s="516">
        <f t="shared" ref="R133" si="69">L133-Q133</f>
        <v>0</v>
      </c>
      <c r="S133" s="469" t="e">
        <f t="shared" si="39"/>
        <v>#DIV/0!</v>
      </c>
      <c r="T133" s="7"/>
      <c r="U133" s="7"/>
      <c r="V133" s="7"/>
      <c r="W133" s="7"/>
      <c r="X133" s="7"/>
      <c r="Y133" s="7"/>
      <c r="Z133" s="7"/>
    </row>
    <row r="134" spans="1:26" s="8" customFormat="1" ht="28.8" hidden="1" x14ac:dyDescent="0.2">
      <c r="A134" s="432" t="s">
        <v>14</v>
      </c>
      <c r="B134" s="420" t="s">
        <v>427</v>
      </c>
      <c r="C134" s="654" t="s">
        <v>428</v>
      </c>
      <c r="D134" s="422">
        <f t="shared" ref="D134:R134" si="70">SUM(D135:D136)</f>
        <v>0</v>
      </c>
      <c r="E134" s="422">
        <f t="shared" si="70"/>
        <v>0</v>
      </c>
      <c r="F134" s="422">
        <f t="shared" si="70"/>
        <v>0</v>
      </c>
      <c r="G134" s="422">
        <f t="shared" si="70"/>
        <v>0</v>
      </c>
      <c r="H134" s="422">
        <f t="shared" si="70"/>
        <v>0</v>
      </c>
      <c r="I134" s="422">
        <f t="shared" si="70"/>
        <v>0</v>
      </c>
      <c r="J134" s="422">
        <f t="shared" si="70"/>
        <v>0</v>
      </c>
      <c r="K134" s="422">
        <f t="shared" si="70"/>
        <v>0</v>
      </c>
      <c r="L134" s="507">
        <f t="shared" si="70"/>
        <v>0</v>
      </c>
      <c r="M134" s="524">
        <v>0</v>
      </c>
      <c r="N134" s="422">
        <v>0</v>
      </c>
      <c r="O134" s="422">
        <v>0</v>
      </c>
      <c r="P134" s="422">
        <f t="shared" si="70"/>
        <v>0</v>
      </c>
      <c r="Q134" s="525">
        <f t="shared" si="70"/>
        <v>0</v>
      </c>
      <c r="R134" s="515">
        <f t="shared" si="70"/>
        <v>0</v>
      </c>
      <c r="S134" s="468" t="e">
        <f t="shared" si="39"/>
        <v>#DIV/0!</v>
      </c>
    </row>
    <row r="135" spans="1:26" s="7" customFormat="1" ht="14.4" hidden="1" x14ac:dyDescent="0.2">
      <c r="A135" s="492" t="s">
        <v>14</v>
      </c>
      <c r="B135" s="423" t="s">
        <v>429</v>
      </c>
      <c r="C135" s="424" t="s">
        <v>114</v>
      </c>
      <c r="D135" s="425"/>
      <c r="E135" s="425">
        <v>0</v>
      </c>
      <c r="F135" s="425">
        <v>0</v>
      </c>
      <c r="G135" s="425">
        <v>0</v>
      </c>
      <c r="H135" s="425">
        <v>0</v>
      </c>
      <c r="I135" s="425">
        <v>0</v>
      </c>
      <c r="J135" s="425">
        <v>0</v>
      </c>
      <c r="K135" s="425">
        <f>SUM(E135:J135)</f>
        <v>0</v>
      </c>
      <c r="L135" s="508">
        <f>D135+K135</f>
        <v>0</v>
      </c>
      <c r="M135" s="526">
        <v>0</v>
      </c>
      <c r="N135" s="425">
        <v>0</v>
      </c>
      <c r="O135" s="425">
        <v>0</v>
      </c>
      <c r="P135" s="425">
        <v>0</v>
      </c>
      <c r="Q135" s="527">
        <v>0</v>
      </c>
      <c r="R135" s="516">
        <f t="shared" ref="R135:R136" si="71">L135-Q135</f>
        <v>0</v>
      </c>
      <c r="S135" s="469" t="e">
        <f t="shared" si="39"/>
        <v>#DIV/0!</v>
      </c>
    </row>
    <row r="136" spans="1:26" s="7" customFormat="1" ht="28.8" hidden="1" x14ac:dyDescent="0.2">
      <c r="A136" s="492" t="s">
        <v>14</v>
      </c>
      <c r="B136" s="423" t="s">
        <v>430</v>
      </c>
      <c r="C136" s="424" t="s">
        <v>115</v>
      </c>
      <c r="D136" s="425"/>
      <c r="E136" s="425">
        <v>0</v>
      </c>
      <c r="F136" s="425">
        <v>0</v>
      </c>
      <c r="G136" s="425">
        <v>0</v>
      </c>
      <c r="H136" s="425">
        <v>0</v>
      </c>
      <c r="I136" s="425">
        <v>0</v>
      </c>
      <c r="J136" s="425">
        <v>0</v>
      </c>
      <c r="K136" s="425">
        <f>SUM(E136:J136)</f>
        <v>0</v>
      </c>
      <c r="L136" s="508">
        <f>D136+K136</f>
        <v>0</v>
      </c>
      <c r="M136" s="526">
        <v>0</v>
      </c>
      <c r="N136" s="425">
        <v>0</v>
      </c>
      <c r="O136" s="425">
        <v>0</v>
      </c>
      <c r="P136" s="425">
        <v>0</v>
      </c>
      <c r="Q136" s="527">
        <v>0</v>
      </c>
      <c r="R136" s="516">
        <f t="shared" si="71"/>
        <v>0</v>
      </c>
      <c r="S136" s="469" t="e">
        <f t="shared" si="39"/>
        <v>#DIV/0!</v>
      </c>
    </row>
    <row r="137" spans="1:26" s="8" customFormat="1" ht="14.4" x14ac:dyDescent="0.2">
      <c r="A137" s="493" t="s">
        <v>14</v>
      </c>
      <c r="B137" s="420" t="s">
        <v>431</v>
      </c>
      <c r="C137" s="654" t="s">
        <v>432</v>
      </c>
      <c r="D137" s="422">
        <f t="shared" ref="D137:R137" si="72">SUM(D138:D139)</f>
        <v>100000000</v>
      </c>
      <c r="E137" s="422">
        <f t="shared" si="72"/>
        <v>0</v>
      </c>
      <c r="F137" s="422">
        <f t="shared" si="72"/>
        <v>0</v>
      </c>
      <c r="G137" s="422">
        <f t="shared" si="72"/>
        <v>0</v>
      </c>
      <c r="H137" s="422">
        <f t="shared" si="72"/>
        <v>0</v>
      </c>
      <c r="I137" s="422">
        <f t="shared" si="72"/>
        <v>0</v>
      </c>
      <c r="J137" s="422">
        <f t="shared" si="72"/>
        <v>0</v>
      </c>
      <c r="K137" s="422">
        <f t="shared" si="72"/>
        <v>0</v>
      </c>
      <c r="L137" s="507">
        <f t="shared" si="72"/>
        <v>100000000</v>
      </c>
      <c r="M137" s="524">
        <v>4477047.5599999996</v>
      </c>
      <c r="N137" s="422">
        <v>897680.28000000026</v>
      </c>
      <c r="O137" s="422">
        <v>2183148.5</v>
      </c>
      <c r="P137" s="422">
        <f t="shared" si="72"/>
        <v>1511892.1799999997</v>
      </c>
      <c r="Q137" s="525">
        <f t="shared" si="72"/>
        <v>9069768.5199999996</v>
      </c>
      <c r="R137" s="515">
        <f t="shared" si="72"/>
        <v>90930231.480000004</v>
      </c>
      <c r="S137" s="468">
        <f t="shared" si="39"/>
        <v>9.0697685199999989E-2</v>
      </c>
    </row>
    <row r="138" spans="1:26" s="8" customFormat="1" ht="14.4" x14ac:dyDescent="0.2">
      <c r="A138" s="492" t="s">
        <v>14</v>
      </c>
      <c r="B138" s="423" t="s">
        <v>433</v>
      </c>
      <c r="C138" s="424" t="s">
        <v>116</v>
      </c>
      <c r="D138" s="425">
        <v>80000000</v>
      </c>
      <c r="E138" s="425">
        <v>0</v>
      </c>
      <c r="F138" s="425">
        <v>0</v>
      </c>
      <c r="G138" s="425">
        <v>0</v>
      </c>
      <c r="H138" s="425">
        <v>0</v>
      </c>
      <c r="I138" s="425">
        <v>0</v>
      </c>
      <c r="J138" s="425">
        <v>0</v>
      </c>
      <c r="K138" s="425">
        <f>SUM(E138:J138)</f>
        <v>0</v>
      </c>
      <c r="L138" s="508">
        <f>D138+K138</f>
        <v>80000000</v>
      </c>
      <c r="M138" s="526">
        <v>0</v>
      </c>
      <c r="N138" s="425">
        <v>0</v>
      </c>
      <c r="O138" s="425">
        <v>0</v>
      </c>
      <c r="P138" s="425">
        <f t="shared" ref="P138:P139" si="73">Q138-M138-N138-O138</f>
        <v>0</v>
      </c>
      <c r="Q138" s="527">
        <v>0</v>
      </c>
      <c r="R138" s="516">
        <f t="shared" ref="R138:R139" si="74">L138-Q138</f>
        <v>80000000</v>
      </c>
      <c r="S138" s="469">
        <f t="shared" si="39"/>
        <v>0</v>
      </c>
    </row>
    <row r="139" spans="1:26" s="7" customFormat="1" ht="14.4" x14ac:dyDescent="0.2">
      <c r="A139" s="492" t="s">
        <v>14</v>
      </c>
      <c r="B139" s="423" t="s">
        <v>434</v>
      </c>
      <c r="C139" s="424" t="s">
        <v>117</v>
      </c>
      <c r="D139" s="425">
        <v>20000000</v>
      </c>
      <c r="E139" s="425">
        <v>0</v>
      </c>
      <c r="F139" s="425">
        <v>0</v>
      </c>
      <c r="G139" s="425">
        <v>0</v>
      </c>
      <c r="H139" s="425">
        <v>0</v>
      </c>
      <c r="I139" s="425">
        <v>0</v>
      </c>
      <c r="J139" s="425">
        <v>0</v>
      </c>
      <c r="K139" s="425">
        <f>SUM(E139:J139)</f>
        <v>0</v>
      </c>
      <c r="L139" s="508">
        <f>D139+K139</f>
        <v>20000000</v>
      </c>
      <c r="M139" s="526">
        <v>4477047.5599999996</v>
      </c>
      <c r="N139" s="425">
        <v>897680.28000000026</v>
      </c>
      <c r="O139" s="425">
        <v>2183148.5</v>
      </c>
      <c r="P139" s="425">
        <f t="shared" si="73"/>
        <v>1511892.1799999997</v>
      </c>
      <c r="Q139" s="527">
        <v>9069768.5199999996</v>
      </c>
      <c r="R139" s="516">
        <f t="shared" si="74"/>
        <v>10930231.48</v>
      </c>
      <c r="S139" s="469">
        <f t="shared" si="39"/>
        <v>0.453488426</v>
      </c>
    </row>
    <row r="140" spans="1:26" s="7" customFormat="1" ht="28.8" hidden="1" x14ac:dyDescent="0.2">
      <c r="A140" s="436" t="s">
        <v>14</v>
      </c>
      <c r="B140" s="420" t="s">
        <v>457</v>
      </c>
      <c r="C140" s="657" t="s">
        <v>483</v>
      </c>
      <c r="D140" s="580">
        <f>+D141</f>
        <v>0</v>
      </c>
      <c r="E140" s="580">
        <f t="shared" ref="E140:J140" si="75">+E141</f>
        <v>0</v>
      </c>
      <c r="F140" s="580">
        <f t="shared" si="75"/>
        <v>0</v>
      </c>
      <c r="G140" s="580">
        <f t="shared" si="75"/>
        <v>0</v>
      </c>
      <c r="H140" s="580">
        <f t="shared" si="75"/>
        <v>0</v>
      </c>
      <c r="I140" s="580">
        <f t="shared" si="75"/>
        <v>0</v>
      </c>
      <c r="J140" s="580">
        <f t="shared" si="75"/>
        <v>0</v>
      </c>
      <c r="K140" s="580">
        <f t="shared" ref="K140:R140" si="76">+K141</f>
        <v>0</v>
      </c>
      <c r="L140" s="573">
        <f t="shared" si="76"/>
        <v>0</v>
      </c>
      <c r="M140" s="581">
        <v>0</v>
      </c>
      <c r="N140" s="580">
        <v>0</v>
      </c>
      <c r="O140" s="580">
        <f t="shared" si="76"/>
        <v>0</v>
      </c>
      <c r="P140" s="580">
        <f t="shared" si="76"/>
        <v>0</v>
      </c>
      <c r="Q140" s="582">
        <f t="shared" si="76"/>
        <v>0</v>
      </c>
      <c r="R140" s="553">
        <f t="shared" si="76"/>
        <v>0</v>
      </c>
      <c r="S140" s="468" t="e">
        <f t="shared" si="39"/>
        <v>#DIV/0!</v>
      </c>
    </row>
    <row r="141" spans="1:26" s="7" customFormat="1" ht="28.8" hidden="1" x14ac:dyDescent="0.2">
      <c r="A141" s="433" t="s">
        <v>14</v>
      </c>
      <c r="B141" s="423" t="s">
        <v>459</v>
      </c>
      <c r="C141" s="424" t="s">
        <v>460</v>
      </c>
      <c r="D141" s="425"/>
      <c r="E141" s="425"/>
      <c r="F141" s="425"/>
      <c r="G141" s="425"/>
      <c r="H141" s="425"/>
      <c r="I141" s="425"/>
      <c r="J141" s="425"/>
      <c r="K141" s="425">
        <f>SUM(E141:J141)</f>
        <v>0</v>
      </c>
      <c r="L141" s="508">
        <f>D141+K141</f>
        <v>0</v>
      </c>
      <c r="M141" s="526"/>
      <c r="N141" s="425"/>
      <c r="O141" s="425"/>
      <c r="P141" s="425"/>
      <c r="Q141" s="527"/>
      <c r="R141" s="516"/>
      <c r="S141" s="469" t="e">
        <f t="shared" si="39"/>
        <v>#DIV/0!</v>
      </c>
    </row>
    <row r="142" spans="1:26" s="8" customFormat="1" ht="28.8" hidden="1" x14ac:dyDescent="0.2">
      <c r="A142" s="493" t="s">
        <v>14</v>
      </c>
      <c r="B142" s="420" t="s">
        <v>435</v>
      </c>
      <c r="C142" s="654" t="s">
        <v>484</v>
      </c>
      <c r="D142" s="422">
        <f t="shared" ref="D142:R142" si="77">SUM(D143)</f>
        <v>0</v>
      </c>
      <c r="E142" s="422">
        <f t="shared" si="77"/>
        <v>0</v>
      </c>
      <c r="F142" s="422">
        <f t="shared" si="77"/>
        <v>0</v>
      </c>
      <c r="G142" s="422">
        <f t="shared" si="77"/>
        <v>0</v>
      </c>
      <c r="H142" s="422">
        <f t="shared" si="77"/>
        <v>0</v>
      </c>
      <c r="I142" s="422">
        <f t="shared" si="77"/>
        <v>0</v>
      </c>
      <c r="J142" s="422">
        <f t="shared" si="77"/>
        <v>0</v>
      </c>
      <c r="K142" s="422">
        <f t="shared" si="77"/>
        <v>0</v>
      </c>
      <c r="L142" s="507">
        <f t="shared" si="77"/>
        <v>0</v>
      </c>
      <c r="M142" s="524">
        <v>0</v>
      </c>
      <c r="N142" s="422">
        <v>0</v>
      </c>
      <c r="O142" s="422">
        <f t="shared" si="77"/>
        <v>0</v>
      </c>
      <c r="P142" s="422">
        <f t="shared" si="77"/>
        <v>0</v>
      </c>
      <c r="Q142" s="525">
        <f t="shared" si="77"/>
        <v>0</v>
      </c>
      <c r="R142" s="515">
        <f t="shared" si="77"/>
        <v>0</v>
      </c>
      <c r="S142" s="468" t="e">
        <f t="shared" si="39"/>
        <v>#DIV/0!</v>
      </c>
    </row>
    <row r="143" spans="1:26" s="7" customFormat="1" ht="14.4" hidden="1" x14ac:dyDescent="0.2">
      <c r="A143" s="492" t="s">
        <v>14</v>
      </c>
      <c r="B143" s="423" t="s">
        <v>436</v>
      </c>
      <c r="C143" s="424" t="s">
        <v>118</v>
      </c>
      <c r="D143" s="425"/>
      <c r="E143" s="425">
        <v>0</v>
      </c>
      <c r="F143" s="425">
        <v>0</v>
      </c>
      <c r="G143" s="425">
        <v>0</v>
      </c>
      <c r="H143" s="425">
        <v>0</v>
      </c>
      <c r="I143" s="425">
        <v>0</v>
      </c>
      <c r="J143" s="425">
        <v>0</v>
      </c>
      <c r="K143" s="425">
        <f>SUM(E143:J143)</f>
        <v>0</v>
      </c>
      <c r="L143" s="508">
        <f>D143+K143</f>
        <v>0</v>
      </c>
      <c r="M143" s="526">
        <v>0</v>
      </c>
      <c r="N143" s="425">
        <v>0</v>
      </c>
      <c r="O143" s="425">
        <v>0</v>
      </c>
      <c r="P143" s="425">
        <v>0</v>
      </c>
      <c r="Q143" s="527">
        <v>0</v>
      </c>
      <c r="R143" s="516">
        <f t="shared" ref="R143" si="78">L143-Q143</f>
        <v>0</v>
      </c>
      <c r="S143" s="469" t="e">
        <f t="shared" si="39"/>
        <v>#DIV/0!</v>
      </c>
    </row>
    <row r="144" spans="1:26" s="8" customFormat="1" ht="28.8" hidden="1" x14ac:dyDescent="0.2">
      <c r="A144" s="493" t="s">
        <v>14</v>
      </c>
      <c r="B144" s="420" t="s">
        <v>437</v>
      </c>
      <c r="C144" s="654" t="s">
        <v>485</v>
      </c>
      <c r="D144" s="422">
        <f t="shared" ref="D144:R144" si="79">SUM(D145)</f>
        <v>0</v>
      </c>
      <c r="E144" s="422">
        <f t="shared" si="79"/>
        <v>0</v>
      </c>
      <c r="F144" s="422">
        <f t="shared" si="79"/>
        <v>0</v>
      </c>
      <c r="G144" s="422">
        <f t="shared" si="79"/>
        <v>0</v>
      </c>
      <c r="H144" s="422">
        <f t="shared" si="79"/>
        <v>0</v>
      </c>
      <c r="I144" s="422">
        <f t="shared" si="79"/>
        <v>0</v>
      </c>
      <c r="J144" s="422">
        <f t="shared" si="79"/>
        <v>0</v>
      </c>
      <c r="K144" s="422">
        <f t="shared" si="79"/>
        <v>0</v>
      </c>
      <c r="L144" s="507">
        <f t="shared" si="79"/>
        <v>0</v>
      </c>
      <c r="M144" s="524">
        <v>0</v>
      </c>
      <c r="N144" s="422">
        <v>0</v>
      </c>
      <c r="O144" s="422">
        <f t="shared" si="79"/>
        <v>0</v>
      </c>
      <c r="P144" s="422">
        <f t="shared" si="79"/>
        <v>0</v>
      </c>
      <c r="Q144" s="525">
        <f t="shared" si="79"/>
        <v>0</v>
      </c>
      <c r="R144" s="515">
        <f t="shared" si="79"/>
        <v>0</v>
      </c>
      <c r="S144" s="468" t="e">
        <f t="shared" ref="S144:S155" si="80">Q144/L144</f>
        <v>#DIV/0!</v>
      </c>
    </row>
    <row r="145" spans="1:19" s="7" customFormat="1" ht="28.8" hidden="1" x14ac:dyDescent="0.2">
      <c r="A145" s="492" t="s">
        <v>14</v>
      </c>
      <c r="B145" s="423" t="s">
        <v>438</v>
      </c>
      <c r="C145" s="424" t="s">
        <v>498</v>
      </c>
      <c r="D145" s="425"/>
      <c r="E145" s="425">
        <v>0</v>
      </c>
      <c r="F145" s="425">
        <v>0</v>
      </c>
      <c r="G145" s="425">
        <v>0</v>
      </c>
      <c r="H145" s="425">
        <v>0</v>
      </c>
      <c r="I145" s="425">
        <v>0</v>
      </c>
      <c r="J145" s="425">
        <v>0</v>
      </c>
      <c r="K145" s="425">
        <f>SUM(E145:J145)</f>
        <v>0</v>
      </c>
      <c r="L145" s="508">
        <f>D145+K145</f>
        <v>0</v>
      </c>
      <c r="M145" s="526">
        <v>0</v>
      </c>
      <c r="N145" s="425">
        <v>0</v>
      </c>
      <c r="O145" s="425">
        <v>0</v>
      </c>
      <c r="P145" s="425">
        <v>0</v>
      </c>
      <c r="Q145" s="527">
        <v>0</v>
      </c>
      <c r="R145" s="516">
        <f t="shared" ref="R145" si="81">L145-Q145</f>
        <v>0</v>
      </c>
      <c r="S145" s="469" t="e">
        <f t="shared" si="80"/>
        <v>#DIV/0!</v>
      </c>
    </row>
    <row r="146" spans="1:19" s="7" customFormat="1" ht="14.4" x14ac:dyDescent="0.2">
      <c r="A146" s="432"/>
      <c r="B146" s="423"/>
      <c r="C146" s="424"/>
      <c r="D146" s="425"/>
      <c r="E146" s="425">
        <v>0</v>
      </c>
      <c r="F146" s="425">
        <v>0</v>
      </c>
      <c r="G146" s="425">
        <v>0</v>
      </c>
      <c r="H146" s="425">
        <v>0</v>
      </c>
      <c r="I146" s="425">
        <v>0</v>
      </c>
      <c r="J146" s="425">
        <v>0</v>
      </c>
      <c r="K146" s="425"/>
      <c r="L146" s="508"/>
      <c r="M146" s="526"/>
      <c r="N146" s="425"/>
      <c r="O146" s="425"/>
      <c r="P146" s="425"/>
      <c r="Q146" s="527"/>
      <c r="R146" s="516"/>
      <c r="S146" s="469"/>
    </row>
    <row r="147" spans="1:19" s="557" customFormat="1" ht="28.8" x14ac:dyDescent="0.3">
      <c r="A147" s="437">
        <v>2.2999999999999998</v>
      </c>
      <c r="B147" s="444" t="s">
        <v>439</v>
      </c>
      <c r="C147" s="656" t="s">
        <v>440</v>
      </c>
      <c r="D147" s="440">
        <f t="shared" ref="D147:R147" si="82">+D148</f>
        <v>0</v>
      </c>
      <c r="E147" s="440">
        <f t="shared" si="82"/>
        <v>0</v>
      </c>
      <c r="F147" s="440">
        <f t="shared" si="82"/>
        <v>0</v>
      </c>
      <c r="G147" s="440">
        <f t="shared" si="82"/>
        <v>0</v>
      </c>
      <c r="H147" s="440">
        <f t="shared" si="82"/>
        <v>0</v>
      </c>
      <c r="I147" s="440">
        <f t="shared" si="82"/>
        <v>0</v>
      </c>
      <c r="J147" s="440">
        <f t="shared" si="82"/>
        <v>0</v>
      </c>
      <c r="K147" s="440">
        <f t="shared" si="82"/>
        <v>0</v>
      </c>
      <c r="L147" s="506">
        <f t="shared" si="82"/>
        <v>0</v>
      </c>
      <c r="M147" s="522">
        <v>0</v>
      </c>
      <c r="N147" s="440">
        <v>0</v>
      </c>
      <c r="O147" s="440">
        <f t="shared" si="82"/>
        <v>0</v>
      </c>
      <c r="P147" s="440">
        <f t="shared" si="82"/>
        <v>0</v>
      </c>
      <c r="Q147" s="523">
        <f t="shared" si="82"/>
        <v>0</v>
      </c>
      <c r="R147" s="514">
        <f t="shared" si="82"/>
        <v>0</v>
      </c>
      <c r="S147" s="467" t="e">
        <f t="shared" si="80"/>
        <v>#DIV/0!</v>
      </c>
    </row>
    <row r="148" spans="1:19" s="8" customFormat="1" ht="28.8" hidden="1" x14ac:dyDescent="0.3">
      <c r="A148" s="448" t="s">
        <v>119</v>
      </c>
      <c r="B148" s="427" t="s">
        <v>441</v>
      </c>
      <c r="C148" s="654" t="s">
        <v>442</v>
      </c>
      <c r="D148" s="422">
        <f t="shared" ref="D148:R148" si="83">SUM(D149)</f>
        <v>0</v>
      </c>
      <c r="E148" s="422">
        <f t="shared" si="83"/>
        <v>0</v>
      </c>
      <c r="F148" s="422">
        <f t="shared" si="83"/>
        <v>0</v>
      </c>
      <c r="G148" s="422">
        <f t="shared" si="83"/>
        <v>0</v>
      </c>
      <c r="H148" s="422">
        <f t="shared" si="83"/>
        <v>0</v>
      </c>
      <c r="I148" s="422">
        <f t="shared" si="83"/>
        <v>0</v>
      </c>
      <c r="J148" s="422">
        <f t="shared" si="83"/>
        <v>0</v>
      </c>
      <c r="K148" s="422">
        <f t="shared" si="83"/>
        <v>0</v>
      </c>
      <c r="L148" s="507">
        <f t="shared" si="83"/>
        <v>0</v>
      </c>
      <c r="M148" s="524">
        <v>0</v>
      </c>
      <c r="N148" s="422">
        <v>0</v>
      </c>
      <c r="O148" s="422">
        <f t="shared" si="83"/>
        <v>0</v>
      </c>
      <c r="P148" s="422">
        <f t="shared" si="83"/>
        <v>0</v>
      </c>
      <c r="Q148" s="525">
        <f t="shared" si="83"/>
        <v>0</v>
      </c>
      <c r="R148" s="515">
        <f t="shared" si="83"/>
        <v>0</v>
      </c>
      <c r="S148" s="468" t="e">
        <f t="shared" si="80"/>
        <v>#DIV/0!</v>
      </c>
    </row>
    <row r="149" spans="1:19" s="7" customFormat="1" ht="28.8" hidden="1" x14ac:dyDescent="0.2">
      <c r="A149" s="492" t="s">
        <v>119</v>
      </c>
      <c r="B149" s="423" t="s">
        <v>443</v>
      </c>
      <c r="C149" s="424" t="s">
        <v>120</v>
      </c>
      <c r="D149" s="425"/>
      <c r="E149" s="425">
        <v>0</v>
      </c>
      <c r="F149" s="425">
        <v>0</v>
      </c>
      <c r="G149" s="425">
        <v>0</v>
      </c>
      <c r="H149" s="425">
        <v>0</v>
      </c>
      <c r="I149" s="425">
        <v>0</v>
      </c>
      <c r="J149" s="425">
        <v>0</v>
      </c>
      <c r="K149" s="425">
        <f>SUM(E149:J149)</f>
        <v>0</v>
      </c>
      <c r="L149" s="508">
        <f>D149+K149</f>
        <v>0</v>
      </c>
      <c r="M149" s="526">
        <v>0</v>
      </c>
      <c r="N149" s="425">
        <v>0</v>
      </c>
      <c r="O149" s="425">
        <v>0</v>
      </c>
      <c r="P149" s="425">
        <v>0</v>
      </c>
      <c r="Q149" s="527">
        <v>0</v>
      </c>
      <c r="R149" s="516">
        <f t="shared" ref="R149" si="84">L149-Q149</f>
        <v>0</v>
      </c>
      <c r="S149" s="469" t="e">
        <f t="shared" si="80"/>
        <v>#DIV/0!</v>
      </c>
    </row>
    <row r="150" spans="1:19" s="8" customFormat="1" ht="14.4" x14ac:dyDescent="0.2">
      <c r="A150" s="432"/>
      <c r="B150" s="430"/>
      <c r="C150" s="654"/>
      <c r="D150" s="422"/>
      <c r="E150" s="422"/>
      <c r="F150" s="422"/>
      <c r="G150" s="422"/>
      <c r="H150" s="422"/>
      <c r="I150" s="422"/>
      <c r="J150" s="422"/>
      <c r="K150" s="422"/>
      <c r="L150" s="507"/>
      <c r="M150" s="524"/>
      <c r="N150" s="422"/>
      <c r="O150" s="422"/>
      <c r="P150" s="422"/>
      <c r="Q150" s="525"/>
      <c r="R150" s="515"/>
      <c r="S150" s="469" t="e">
        <f t="shared" si="80"/>
        <v>#DIV/0!</v>
      </c>
    </row>
    <row r="151" spans="1:19" s="8" customFormat="1" ht="14.4" x14ac:dyDescent="0.2">
      <c r="A151" s="437">
        <v>4</v>
      </c>
      <c r="B151" s="439" t="s">
        <v>444</v>
      </c>
      <c r="C151" s="656" t="s">
        <v>121</v>
      </c>
      <c r="D151" s="440">
        <f t="shared" ref="D151:R151" si="85">+D152</f>
        <v>0</v>
      </c>
      <c r="E151" s="440">
        <f t="shared" si="85"/>
        <v>0</v>
      </c>
      <c r="F151" s="440">
        <f t="shared" si="85"/>
        <v>0</v>
      </c>
      <c r="G151" s="440">
        <f t="shared" si="85"/>
        <v>0</v>
      </c>
      <c r="H151" s="440">
        <f t="shared" si="85"/>
        <v>0</v>
      </c>
      <c r="I151" s="440">
        <f t="shared" si="85"/>
        <v>0</v>
      </c>
      <c r="J151" s="440">
        <f t="shared" si="85"/>
        <v>0</v>
      </c>
      <c r="K151" s="440">
        <f t="shared" si="85"/>
        <v>0</v>
      </c>
      <c r="L151" s="506">
        <f t="shared" si="85"/>
        <v>0</v>
      </c>
      <c r="M151" s="522">
        <v>0</v>
      </c>
      <c r="N151" s="440">
        <v>0</v>
      </c>
      <c r="O151" s="440">
        <f t="shared" si="85"/>
        <v>0</v>
      </c>
      <c r="P151" s="440">
        <f t="shared" si="85"/>
        <v>0</v>
      </c>
      <c r="Q151" s="523">
        <f t="shared" si="85"/>
        <v>0</v>
      </c>
      <c r="R151" s="514">
        <f t="shared" si="85"/>
        <v>0</v>
      </c>
      <c r="S151" s="467" t="e">
        <f t="shared" si="80"/>
        <v>#DIV/0!</v>
      </c>
    </row>
    <row r="152" spans="1:19" s="8" customFormat="1" ht="28.8" hidden="1" x14ac:dyDescent="0.2">
      <c r="A152" s="497" t="s">
        <v>449</v>
      </c>
      <c r="B152" s="420" t="s">
        <v>441</v>
      </c>
      <c r="C152" s="654" t="s">
        <v>445</v>
      </c>
      <c r="D152" s="422">
        <f t="shared" ref="D152:R152" si="86">SUM(D153:D153)</f>
        <v>0</v>
      </c>
      <c r="E152" s="422">
        <f t="shared" si="86"/>
        <v>0</v>
      </c>
      <c r="F152" s="422">
        <f t="shared" si="86"/>
        <v>0</v>
      </c>
      <c r="G152" s="422">
        <f t="shared" si="86"/>
        <v>0</v>
      </c>
      <c r="H152" s="422">
        <f t="shared" si="86"/>
        <v>0</v>
      </c>
      <c r="I152" s="422">
        <f t="shared" si="86"/>
        <v>0</v>
      </c>
      <c r="J152" s="422">
        <f t="shared" si="86"/>
        <v>0</v>
      </c>
      <c r="K152" s="422">
        <f t="shared" si="86"/>
        <v>0</v>
      </c>
      <c r="L152" s="507">
        <f t="shared" si="86"/>
        <v>0</v>
      </c>
      <c r="M152" s="524">
        <v>0</v>
      </c>
      <c r="N152" s="422">
        <v>0</v>
      </c>
      <c r="O152" s="422">
        <f t="shared" si="86"/>
        <v>0</v>
      </c>
      <c r="P152" s="422">
        <f t="shared" si="86"/>
        <v>0</v>
      </c>
      <c r="Q152" s="525">
        <f t="shared" si="86"/>
        <v>0</v>
      </c>
      <c r="R152" s="515">
        <f t="shared" si="86"/>
        <v>0</v>
      </c>
      <c r="S152" s="468" t="e">
        <f t="shared" si="80"/>
        <v>#DIV/0!</v>
      </c>
    </row>
    <row r="153" spans="1:19" s="8" customFormat="1" ht="28.8" hidden="1" x14ac:dyDescent="0.2">
      <c r="A153" s="498"/>
      <c r="B153" s="423" t="s">
        <v>446</v>
      </c>
      <c r="C153" s="424" t="s">
        <v>447</v>
      </c>
      <c r="D153" s="425"/>
      <c r="E153" s="425">
        <v>0</v>
      </c>
      <c r="F153" s="425">
        <v>0</v>
      </c>
      <c r="G153" s="425">
        <v>0</v>
      </c>
      <c r="H153" s="425">
        <v>0</v>
      </c>
      <c r="I153" s="425">
        <v>0</v>
      </c>
      <c r="J153" s="425">
        <v>0</v>
      </c>
      <c r="K153" s="425">
        <f>SUM(E153:J153)</f>
        <v>0</v>
      </c>
      <c r="L153" s="508">
        <f>D153+K153</f>
        <v>0</v>
      </c>
      <c r="M153" s="526">
        <v>0</v>
      </c>
      <c r="N153" s="425">
        <v>0</v>
      </c>
      <c r="O153" s="425">
        <v>0</v>
      </c>
      <c r="P153" s="425">
        <v>0</v>
      </c>
      <c r="Q153" s="527">
        <v>0</v>
      </c>
      <c r="R153" s="516">
        <f t="shared" ref="R153" si="87">L153-Q153</f>
        <v>0</v>
      </c>
      <c r="S153" s="469" t="e">
        <f t="shared" si="80"/>
        <v>#DIV/0!</v>
      </c>
    </row>
    <row r="154" spans="1:19" s="8" customFormat="1" ht="14.4" x14ac:dyDescent="0.2">
      <c r="A154" s="455"/>
      <c r="B154" s="456"/>
      <c r="C154" s="658"/>
      <c r="D154" s="458"/>
      <c r="E154" s="458"/>
      <c r="F154" s="458"/>
      <c r="G154" s="458"/>
      <c r="H154" s="458"/>
      <c r="I154" s="458"/>
      <c r="J154" s="458"/>
      <c r="K154" s="458"/>
      <c r="L154" s="512"/>
      <c r="M154" s="532"/>
      <c r="N154" s="458"/>
      <c r="O154" s="458"/>
      <c r="P154" s="458"/>
      <c r="Q154" s="533"/>
      <c r="R154" s="520"/>
      <c r="S154" s="470"/>
    </row>
    <row r="155" spans="1:19" s="8" customFormat="1" ht="15" thickBot="1" x14ac:dyDescent="0.25">
      <c r="A155" s="499"/>
      <c r="B155" s="460" t="s">
        <v>130</v>
      </c>
      <c r="C155" s="659"/>
      <c r="D155" s="500">
        <f>SUM(D151+D147+D131+D117+D89+D41+D13)</f>
        <v>2140900983.7</v>
      </c>
      <c r="E155" s="500">
        <f t="shared" ref="E155:R155" si="88">SUM(E151+E147+E131+E117+E89+E41+E13)</f>
        <v>0</v>
      </c>
      <c r="F155" s="500">
        <f t="shared" si="88"/>
        <v>-33225000</v>
      </c>
      <c r="G155" s="500">
        <f t="shared" si="88"/>
        <v>0</v>
      </c>
      <c r="H155" s="500">
        <f t="shared" si="88"/>
        <v>0</v>
      </c>
      <c r="I155" s="500">
        <f t="shared" si="88"/>
        <v>0</v>
      </c>
      <c r="J155" s="500">
        <f t="shared" si="88"/>
        <v>0</v>
      </c>
      <c r="K155" s="500">
        <f t="shared" si="88"/>
        <v>-33225000</v>
      </c>
      <c r="L155" s="551">
        <f t="shared" si="88"/>
        <v>2107675983.7</v>
      </c>
      <c r="M155" s="663">
        <v>444187549.19</v>
      </c>
      <c r="N155" s="500">
        <f t="shared" ref="N155:O155" si="89">SUM(N151+N147+N131+N117+N89+N41+N13)</f>
        <v>111987418.34999999</v>
      </c>
      <c r="O155" s="500">
        <f t="shared" si="89"/>
        <v>110690524.5</v>
      </c>
      <c r="P155" s="500">
        <f t="shared" si="88"/>
        <v>119367214.81999999</v>
      </c>
      <c r="Q155" s="664">
        <f t="shared" si="88"/>
        <v>786232706.86000001</v>
      </c>
      <c r="R155" s="552">
        <f t="shared" si="88"/>
        <v>1321443276.8400002</v>
      </c>
      <c r="S155" s="464">
        <f t="shared" si="80"/>
        <v>0.37303300551908264</v>
      </c>
    </row>
    <row r="156" spans="1:19" s="7" customFormat="1" ht="15" thickTop="1" x14ac:dyDescent="0.2">
      <c r="B156" s="501"/>
      <c r="C156" s="502"/>
      <c r="D156" s="503"/>
      <c r="E156" s="503"/>
      <c r="F156" s="503"/>
      <c r="G156" s="503"/>
      <c r="H156" s="503"/>
      <c r="I156" s="503"/>
      <c r="J156" s="503"/>
      <c r="K156" s="504"/>
      <c r="L156" s="503"/>
      <c r="M156" s="504"/>
      <c r="N156" s="503"/>
      <c r="O156" s="503"/>
      <c r="P156" s="503"/>
      <c r="Q156" s="503"/>
      <c r="R156" s="503"/>
      <c r="S156" s="505"/>
    </row>
    <row r="157" spans="1:19" ht="12" customHeight="1" x14ac:dyDescent="0.3">
      <c r="A157" s="7" t="s">
        <v>236</v>
      </c>
    </row>
  </sheetData>
  <mergeCells count="20">
    <mergeCell ref="F3:S3"/>
    <mergeCell ref="F7:S7"/>
    <mergeCell ref="F4:S4"/>
    <mergeCell ref="F5:S5"/>
    <mergeCell ref="A1:S1"/>
    <mergeCell ref="F2:S2"/>
    <mergeCell ref="A9:A11"/>
    <mergeCell ref="B9:B11"/>
    <mergeCell ref="R9:R11"/>
    <mergeCell ref="S9:S11"/>
    <mergeCell ref="M10:M11"/>
    <mergeCell ref="N10:N11"/>
    <mergeCell ref="C9:C11"/>
    <mergeCell ref="D9:D11"/>
    <mergeCell ref="E9:K10"/>
    <mergeCell ref="P10:P11"/>
    <mergeCell ref="O10:O11"/>
    <mergeCell ref="L9:L11"/>
    <mergeCell ref="M9:Q9"/>
    <mergeCell ref="Q10:Q11"/>
  </mergeCells>
  <printOptions horizontalCentered="1" verticalCentered="1"/>
  <pageMargins left="0.59055118110236227" right="0" top="0.94488188976377963" bottom="0.94488188976377963" header="0.31496062992125984" footer="0.31496062992125984"/>
  <pageSetup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U163"/>
  <sheetViews>
    <sheetView topLeftCell="F141" zoomScale="148" zoomScaleNormal="148" workbookViewId="0">
      <selection activeCell="A143" sqref="A143:XFD143"/>
    </sheetView>
  </sheetViews>
  <sheetFormatPr baseColWidth="10" defaultColWidth="12" defaultRowHeight="12" customHeight="1" x14ac:dyDescent="0.3"/>
  <cols>
    <col min="1" max="1" width="9.85546875" style="10" customWidth="1"/>
    <col min="2" max="2" width="12.42578125" style="10" customWidth="1"/>
    <col min="3" max="3" width="30" style="9" customWidth="1"/>
    <col min="4" max="4" width="20.7109375" style="10" customWidth="1"/>
    <col min="5" max="5" width="19.140625" style="266" customWidth="1"/>
    <col min="6" max="6" width="18" style="266" customWidth="1"/>
    <col min="7" max="7" width="17.42578125" style="266" hidden="1" customWidth="1"/>
    <col min="8" max="8" width="8.85546875" style="266" hidden="1" customWidth="1"/>
    <col min="9" max="9" width="14.42578125" style="266" hidden="1" customWidth="1"/>
    <col min="10" max="10" width="15.7109375" style="266" hidden="1" customWidth="1"/>
    <col min="11" max="11" width="14.28515625" style="266" hidden="1" customWidth="1"/>
    <col min="12" max="12" width="18.42578125" style="9" bestFit="1" customWidth="1"/>
    <col min="13" max="13" width="21.42578125" style="19" customWidth="1"/>
    <col min="14" max="14" width="19.28515625" style="10" customWidth="1"/>
    <col min="15" max="15" width="19.28515625" style="9" customWidth="1"/>
    <col min="16" max="16" width="21.42578125" style="93" customWidth="1"/>
    <col min="17" max="17" width="21.42578125" style="9" customWidth="1"/>
    <col min="18" max="18" width="22.140625" style="19" customWidth="1"/>
    <col min="19" max="19" width="11.28515625" style="20" customWidth="1"/>
    <col min="20" max="20" width="21.85546875" style="9" customWidth="1"/>
    <col min="21" max="21" width="4" style="6" customWidth="1"/>
    <col min="22" max="16384" width="12" style="6"/>
  </cols>
  <sheetData>
    <row r="1" spans="1:21" ht="12" customHeight="1" x14ac:dyDescent="0.3">
      <c r="A1" s="860"/>
      <c r="B1" s="860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</row>
    <row r="2" spans="1:21" ht="14.4" x14ac:dyDescent="0.3">
      <c r="A2" s="861"/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1"/>
    </row>
    <row r="3" spans="1:21" ht="14.4" x14ac:dyDescent="0.3">
      <c r="B3" s="40"/>
      <c r="D3" s="40"/>
      <c r="E3" s="820" t="s">
        <v>125</v>
      </c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</row>
    <row r="4" spans="1:21" s="7" customFormat="1" ht="14.4" x14ac:dyDescent="0.2">
      <c r="B4" s="40"/>
      <c r="D4" s="40"/>
      <c r="E4" s="820" t="s">
        <v>276</v>
      </c>
      <c r="F4" s="820"/>
      <c r="G4" s="820"/>
      <c r="H4" s="820"/>
      <c r="I4" s="820"/>
      <c r="J4" s="820"/>
      <c r="K4" s="820"/>
      <c r="L4" s="820"/>
      <c r="M4" s="820"/>
      <c r="N4" s="820"/>
      <c r="O4" s="820"/>
      <c r="P4" s="820"/>
      <c r="Q4" s="820"/>
      <c r="R4" s="820"/>
      <c r="S4" s="820"/>
      <c r="T4" s="820"/>
    </row>
    <row r="5" spans="1:21" s="7" customFormat="1" ht="14.4" x14ac:dyDescent="0.2">
      <c r="B5" s="40"/>
      <c r="D5" s="40"/>
      <c r="E5" s="820" t="s">
        <v>126</v>
      </c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</row>
    <row r="6" spans="1:21" s="7" customFormat="1" ht="14.4" x14ac:dyDescent="0.2">
      <c r="B6" s="40"/>
      <c r="D6" s="40"/>
      <c r="E6" s="265"/>
      <c r="F6" s="265"/>
      <c r="G6" s="265"/>
      <c r="H6" s="265"/>
      <c r="I6" s="265"/>
      <c r="J6" s="265"/>
      <c r="K6" s="265"/>
      <c r="L6" s="103"/>
      <c r="M6" s="103"/>
      <c r="N6" s="103"/>
      <c r="O6" s="103"/>
      <c r="P6" s="103"/>
      <c r="Q6" s="103"/>
      <c r="R6" s="103"/>
      <c r="S6" s="103"/>
      <c r="T6" s="103"/>
    </row>
    <row r="7" spans="1:21" s="7" customFormat="1" ht="14.4" x14ac:dyDescent="0.2">
      <c r="B7" s="103"/>
      <c r="D7" s="40"/>
      <c r="E7" s="820" t="str">
        <f>+Ingresos!E6</f>
        <v>AL 30 DE JUNIO DEL 2026</v>
      </c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820"/>
      <c r="Q7" s="820"/>
      <c r="R7" s="820"/>
      <c r="S7" s="820"/>
      <c r="T7" s="820"/>
    </row>
    <row r="8" spans="1:21" ht="14.4" x14ac:dyDescent="0.3">
      <c r="A8" s="24"/>
      <c r="B8" s="24"/>
      <c r="C8" s="18"/>
      <c r="D8" s="24"/>
      <c r="L8" s="18"/>
      <c r="M8" s="14"/>
      <c r="N8" s="42"/>
      <c r="O8" s="15"/>
      <c r="P8" s="200"/>
      <c r="Q8" s="15"/>
      <c r="R8" s="14"/>
      <c r="S8" s="138"/>
      <c r="T8" s="15"/>
    </row>
    <row r="9" spans="1:21" s="11" customFormat="1" ht="16.5" customHeight="1" x14ac:dyDescent="0.2">
      <c r="A9" s="864" t="s">
        <v>41</v>
      </c>
      <c r="B9" s="872" t="s">
        <v>42</v>
      </c>
      <c r="C9" s="880" t="s">
        <v>43</v>
      </c>
      <c r="D9" s="875" t="s">
        <v>4</v>
      </c>
      <c r="E9" s="875" t="s">
        <v>44</v>
      </c>
      <c r="F9" s="875"/>
      <c r="G9" s="875"/>
      <c r="H9" s="875"/>
      <c r="I9" s="875"/>
      <c r="J9" s="875"/>
      <c r="K9" s="875"/>
      <c r="L9" s="875"/>
      <c r="M9" s="877" t="s">
        <v>5</v>
      </c>
      <c r="N9" s="884" t="s">
        <v>127</v>
      </c>
      <c r="O9" s="885"/>
      <c r="P9" s="885"/>
      <c r="Q9" s="885"/>
      <c r="R9" s="885"/>
      <c r="S9" s="886"/>
      <c r="T9" s="869" t="s">
        <v>128</v>
      </c>
    </row>
    <row r="10" spans="1:21" s="11" customFormat="1" ht="12.75" customHeight="1" x14ac:dyDescent="0.2">
      <c r="A10" s="865"/>
      <c r="B10" s="873"/>
      <c r="C10" s="881"/>
      <c r="D10" s="876"/>
      <c r="E10" s="876"/>
      <c r="F10" s="876"/>
      <c r="G10" s="876"/>
      <c r="H10" s="876"/>
      <c r="I10" s="876"/>
      <c r="J10" s="876"/>
      <c r="K10" s="876"/>
      <c r="L10" s="876"/>
      <c r="M10" s="878"/>
      <c r="N10" s="867" t="s">
        <v>500</v>
      </c>
      <c r="O10" s="891" t="s">
        <v>512</v>
      </c>
      <c r="P10" s="891" t="s">
        <v>510</v>
      </c>
      <c r="Q10" s="889" t="s">
        <v>511</v>
      </c>
      <c r="R10" s="862" t="s">
        <v>48</v>
      </c>
      <c r="S10" s="887" t="s">
        <v>129</v>
      </c>
      <c r="T10" s="870"/>
    </row>
    <row r="11" spans="1:21" s="11" customFormat="1" ht="13.8" x14ac:dyDescent="0.2">
      <c r="A11" s="866"/>
      <c r="B11" s="874"/>
      <c r="C11" s="882"/>
      <c r="D11" s="883"/>
      <c r="E11" s="549" t="s">
        <v>266</v>
      </c>
      <c r="F11" s="549" t="s">
        <v>267</v>
      </c>
      <c r="G11" s="549" t="s">
        <v>268</v>
      </c>
      <c r="H11" s="549"/>
      <c r="I11" s="549"/>
      <c r="J11" s="549"/>
      <c r="K11" s="549"/>
      <c r="L11" s="550" t="s">
        <v>130</v>
      </c>
      <c r="M11" s="879"/>
      <c r="N11" s="868"/>
      <c r="O11" s="892"/>
      <c r="P11" s="892"/>
      <c r="Q11" s="890"/>
      <c r="R11" s="863"/>
      <c r="S11" s="888"/>
      <c r="T11" s="871"/>
    </row>
    <row r="12" spans="1:21" s="8" customFormat="1" ht="14.4" x14ac:dyDescent="0.2">
      <c r="A12" s="25"/>
      <c r="B12" s="45"/>
      <c r="C12" s="115"/>
      <c r="D12" s="45"/>
      <c r="E12" s="222"/>
      <c r="F12" s="222"/>
      <c r="G12" s="222"/>
      <c r="H12" s="222"/>
      <c r="I12" s="222"/>
      <c r="J12" s="222"/>
      <c r="K12" s="222"/>
      <c r="L12" s="26"/>
      <c r="M12" s="62"/>
      <c r="N12" s="597"/>
      <c r="O12" s="44"/>
      <c r="P12" s="199"/>
      <c r="Q12" s="624"/>
      <c r="R12" s="667"/>
      <c r="S12" s="669"/>
      <c r="T12" s="63"/>
      <c r="U12" s="328"/>
    </row>
    <row r="13" spans="1:21" s="8" customFormat="1" ht="14.4" x14ac:dyDescent="0.2">
      <c r="A13" s="535" t="s">
        <v>50</v>
      </c>
      <c r="B13" s="439" t="s">
        <v>278</v>
      </c>
      <c r="C13" s="655" t="s">
        <v>51</v>
      </c>
      <c r="D13" s="547">
        <f t="shared" ref="D13:T13" si="0">SUM(D14+D18+D23+D29+D35)</f>
        <v>8565463590.75</v>
      </c>
      <c r="E13" s="547">
        <f t="shared" si="0"/>
        <v>0</v>
      </c>
      <c r="F13" s="547">
        <f t="shared" ref="F13" si="1">SUM(F14+F18+F23+F29+F35)</f>
        <v>0</v>
      </c>
      <c r="G13" s="547">
        <f t="shared" si="0"/>
        <v>0</v>
      </c>
      <c r="H13" s="547">
        <f t="shared" si="0"/>
        <v>0</v>
      </c>
      <c r="I13" s="547">
        <f t="shared" si="0"/>
        <v>0</v>
      </c>
      <c r="J13" s="547">
        <f t="shared" si="0"/>
        <v>0</v>
      </c>
      <c r="K13" s="547">
        <f t="shared" si="0"/>
        <v>0</v>
      </c>
      <c r="L13" s="547">
        <f t="shared" si="0"/>
        <v>0</v>
      </c>
      <c r="M13" s="506">
        <f t="shared" si="0"/>
        <v>8565463590.75</v>
      </c>
      <c r="N13" s="618">
        <v>2013554062.1999998</v>
      </c>
      <c r="O13" s="440">
        <f t="shared" si="0"/>
        <v>513169839.95000005</v>
      </c>
      <c r="P13" s="440">
        <f t="shared" si="0"/>
        <v>509368866.85000008</v>
      </c>
      <c r="Q13" s="506">
        <f t="shared" si="0"/>
        <v>512254112.76999992</v>
      </c>
      <c r="R13" s="522">
        <f t="shared" si="0"/>
        <v>3548346881.77</v>
      </c>
      <c r="S13" s="577">
        <f>+R13/M13</f>
        <v>0.41426209383481877</v>
      </c>
      <c r="T13" s="574">
        <f t="shared" si="0"/>
        <v>5017116708.9800005</v>
      </c>
    </row>
    <row r="14" spans="1:21" s="8" customFormat="1" ht="28.8" x14ac:dyDescent="0.2">
      <c r="A14" s="28" t="s">
        <v>52</v>
      </c>
      <c r="B14" s="420" t="s">
        <v>53</v>
      </c>
      <c r="C14" s="654" t="s">
        <v>279</v>
      </c>
      <c r="D14" s="452">
        <f t="shared" ref="D14:R14" si="2">SUM(D15:D17)</f>
        <v>4402982314.8100004</v>
      </c>
      <c r="E14" s="452">
        <f t="shared" si="2"/>
        <v>0</v>
      </c>
      <c r="F14" s="452">
        <f t="shared" ref="F14" si="3">SUM(F15:F17)</f>
        <v>0</v>
      </c>
      <c r="G14" s="452">
        <f t="shared" si="2"/>
        <v>0</v>
      </c>
      <c r="H14" s="452">
        <f t="shared" si="2"/>
        <v>0</v>
      </c>
      <c r="I14" s="452">
        <f t="shared" si="2"/>
        <v>0</v>
      </c>
      <c r="J14" s="452">
        <f t="shared" si="2"/>
        <v>0</v>
      </c>
      <c r="K14" s="452">
        <f t="shared" si="2"/>
        <v>0</v>
      </c>
      <c r="L14" s="452">
        <f t="shared" si="2"/>
        <v>0</v>
      </c>
      <c r="M14" s="507">
        <f t="shared" si="2"/>
        <v>4402982314.8100004</v>
      </c>
      <c r="N14" s="619">
        <v>792022102.25999999</v>
      </c>
      <c r="O14" s="422">
        <f t="shared" si="2"/>
        <v>267523479.16999999</v>
      </c>
      <c r="P14" s="422">
        <f t="shared" si="2"/>
        <v>269250131.12000006</v>
      </c>
      <c r="Q14" s="507">
        <f t="shared" si="2"/>
        <v>269386546.68999994</v>
      </c>
      <c r="R14" s="524">
        <f t="shared" si="2"/>
        <v>1598182259.24</v>
      </c>
      <c r="S14" s="579">
        <f>R14/M14</f>
        <v>0.36297721520804371</v>
      </c>
      <c r="T14" s="575">
        <f>M14-R14</f>
        <v>2804800055.5700006</v>
      </c>
    </row>
    <row r="15" spans="1:21" s="7" customFormat="1" ht="14.4" x14ac:dyDescent="0.2">
      <c r="A15" s="37" t="s">
        <v>52</v>
      </c>
      <c r="B15" s="423" t="s">
        <v>280</v>
      </c>
      <c r="C15" s="424" t="s">
        <v>281</v>
      </c>
      <c r="D15" s="453">
        <f>+'Prog 1'!D15+'Prog 2'!D15+'Prog 3'!D15</f>
        <v>4288786526.3600001</v>
      </c>
      <c r="E15" s="453">
        <f>+'Prog 1'!E15+'Prog 2'!E15+'Prog 3'!E15</f>
        <v>0</v>
      </c>
      <c r="F15" s="453">
        <f>+'Prog 1'!F15+'Prog 2'!F15+'Prog 3'!F15</f>
        <v>0</v>
      </c>
      <c r="G15" s="453">
        <v>0</v>
      </c>
      <c r="H15" s="453">
        <v>0</v>
      </c>
      <c r="I15" s="453">
        <v>0</v>
      </c>
      <c r="J15" s="453">
        <v>0</v>
      </c>
      <c r="K15" s="453">
        <v>0</v>
      </c>
      <c r="L15" s="453">
        <f>SUM(E15:K15)</f>
        <v>0</v>
      </c>
      <c r="M15" s="508">
        <f>D15+L15</f>
        <v>4288786526.3600001</v>
      </c>
      <c r="N15" s="620">
        <v>781408475.75</v>
      </c>
      <c r="O15" s="425">
        <f>'Prog 1'!N15+'Prog 2'!N15+'Prog 3'!N15</f>
        <v>264299009.57999998</v>
      </c>
      <c r="P15" s="425">
        <f>'Prog 1'!O15+'Prog 2'!O15+'Prog 3'!O15</f>
        <v>266240021.42000005</v>
      </c>
      <c r="Q15" s="508">
        <f>'Prog 1'!P15+'Prog 2'!P15+'Prog 3'!P15</f>
        <v>266410689.44999996</v>
      </c>
      <c r="R15" s="526">
        <f>N15+O15+P15+Q15</f>
        <v>1578358196.2</v>
      </c>
      <c r="S15" s="578">
        <f t="shared" ref="S15:S78" si="4">R15/M15</f>
        <v>0.36801976188346031</v>
      </c>
      <c r="T15" s="576">
        <f t="shared" ref="T15:T78" si="5">M15-R15</f>
        <v>2710428330.1599998</v>
      </c>
    </row>
    <row r="16" spans="1:21" s="7" customFormat="1" ht="14.4" x14ac:dyDescent="0.2">
      <c r="A16" s="37" t="s">
        <v>52</v>
      </c>
      <c r="B16" s="423" t="s">
        <v>282</v>
      </c>
      <c r="C16" s="424" t="s">
        <v>283</v>
      </c>
      <c r="D16" s="453">
        <f>+'Prog 1'!D16+'Prog 2'!D16+'Prog 3'!D16</f>
        <v>19195788.449999999</v>
      </c>
      <c r="E16" s="453">
        <f>+'Prog 1'!E16+'Prog 2'!E16+'Prog 3'!E16</f>
        <v>0</v>
      </c>
      <c r="F16" s="453">
        <f>+'Prog 1'!F16+'Prog 2'!F16+'Prog 3'!F16</f>
        <v>0</v>
      </c>
      <c r="G16" s="453">
        <v>0</v>
      </c>
      <c r="H16" s="453">
        <v>0</v>
      </c>
      <c r="I16" s="453">
        <v>0</v>
      </c>
      <c r="J16" s="453">
        <v>0</v>
      </c>
      <c r="K16" s="453">
        <v>0</v>
      </c>
      <c r="L16" s="453">
        <f t="shared" ref="L16:L17" si="6">SUM(E16:K16)</f>
        <v>0</v>
      </c>
      <c r="M16" s="508">
        <f t="shared" ref="M16:M17" si="7">D16+L16</f>
        <v>19195788.449999999</v>
      </c>
      <c r="N16" s="620">
        <v>0</v>
      </c>
      <c r="O16" s="425">
        <f>'Prog 1'!N16+'Prog 2'!N16+'Prog 3'!N16</f>
        <v>0</v>
      </c>
      <c r="P16" s="425">
        <f>'Prog 1'!O16+'Prog 2'!O16+'Prog 3'!O16</f>
        <v>0</v>
      </c>
      <c r="Q16" s="508">
        <f>'Prog 1'!P16+'Prog 2'!P16+'Prog 3'!P16</f>
        <v>0</v>
      </c>
      <c r="R16" s="526">
        <f t="shared" ref="R16:R17" si="8">N16+O16+P16+Q16</f>
        <v>0</v>
      </c>
      <c r="S16" s="578">
        <f t="shared" si="4"/>
        <v>0</v>
      </c>
      <c r="T16" s="576">
        <f t="shared" si="5"/>
        <v>19195788.449999999</v>
      </c>
    </row>
    <row r="17" spans="1:20" s="7" customFormat="1" ht="14.4" x14ac:dyDescent="0.2">
      <c r="A17" s="37" t="s">
        <v>52</v>
      </c>
      <c r="B17" s="423" t="s">
        <v>284</v>
      </c>
      <c r="C17" s="424" t="s">
        <v>54</v>
      </c>
      <c r="D17" s="453">
        <f>+'Prog 1'!D17+'Prog 2'!D17+'Prog 3'!D17</f>
        <v>95000000</v>
      </c>
      <c r="E17" s="453">
        <f>+'Prog 1'!E17+'Prog 2'!E17+'Prog 3'!E17</f>
        <v>0</v>
      </c>
      <c r="F17" s="453">
        <f>+'Prog 1'!F17+'Prog 2'!F17+'Prog 3'!F17</f>
        <v>0</v>
      </c>
      <c r="G17" s="453">
        <v>0</v>
      </c>
      <c r="H17" s="453">
        <v>0</v>
      </c>
      <c r="I17" s="453">
        <v>0</v>
      </c>
      <c r="J17" s="453">
        <v>0</v>
      </c>
      <c r="K17" s="453">
        <v>0</v>
      </c>
      <c r="L17" s="453">
        <f t="shared" si="6"/>
        <v>0</v>
      </c>
      <c r="M17" s="508">
        <f t="shared" si="7"/>
        <v>95000000</v>
      </c>
      <c r="N17" s="620">
        <v>10613626.51</v>
      </c>
      <c r="O17" s="425">
        <f>'Prog 1'!N17+'Prog 2'!N17+'Prog 3'!N17</f>
        <v>3224469.5899999994</v>
      </c>
      <c r="P17" s="425">
        <f>'Prog 1'!O17+'Prog 2'!O17+'Prog 3'!O17</f>
        <v>3010109.7</v>
      </c>
      <c r="Q17" s="508">
        <f>'Prog 1'!P17+'Prog 2'!P17+'Prog 3'!P17</f>
        <v>2975857.2400000012</v>
      </c>
      <c r="R17" s="526">
        <f t="shared" si="8"/>
        <v>19824063.040000003</v>
      </c>
      <c r="S17" s="578">
        <f t="shared" si="4"/>
        <v>0.20867434778947372</v>
      </c>
      <c r="T17" s="576">
        <f t="shared" si="5"/>
        <v>75175936.959999993</v>
      </c>
    </row>
    <row r="18" spans="1:20" s="8" customFormat="1" ht="28.8" x14ac:dyDescent="0.2">
      <c r="A18" s="28" t="s">
        <v>52</v>
      </c>
      <c r="B18" s="670" t="s">
        <v>55</v>
      </c>
      <c r="C18" s="654" t="s">
        <v>285</v>
      </c>
      <c r="D18" s="452">
        <f t="shared" ref="D18:R18" si="9">SUM(D19:D22)</f>
        <v>145406914</v>
      </c>
      <c r="E18" s="452">
        <f t="shared" si="9"/>
        <v>0</v>
      </c>
      <c r="F18" s="452">
        <f t="shared" ref="F18" si="10">SUM(F19:F22)</f>
        <v>0</v>
      </c>
      <c r="G18" s="452">
        <f t="shared" si="9"/>
        <v>0</v>
      </c>
      <c r="H18" s="452">
        <f t="shared" si="9"/>
        <v>0</v>
      </c>
      <c r="I18" s="452">
        <f t="shared" si="9"/>
        <v>0</v>
      </c>
      <c r="J18" s="452">
        <f t="shared" si="9"/>
        <v>0</v>
      </c>
      <c r="K18" s="452">
        <f t="shared" si="9"/>
        <v>0</v>
      </c>
      <c r="L18" s="452">
        <f t="shared" si="9"/>
        <v>0</v>
      </c>
      <c r="M18" s="507">
        <f t="shared" si="9"/>
        <v>145406914</v>
      </c>
      <c r="N18" s="619">
        <v>19206408.670000002</v>
      </c>
      <c r="O18" s="422">
        <f t="shared" si="9"/>
        <v>6968733.5899999989</v>
      </c>
      <c r="P18" s="422">
        <f t="shared" si="9"/>
        <v>6427738.4999999991</v>
      </c>
      <c r="Q18" s="507">
        <f t="shared" si="9"/>
        <v>10222455.140000004</v>
      </c>
      <c r="R18" s="524">
        <f t="shared" si="9"/>
        <v>42825335.900000006</v>
      </c>
      <c r="S18" s="579">
        <f t="shared" si="4"/>
        <v>0.29452062987871408</v>
      </c>
      <c r="T18" s="575">
        <f t="shared" si="5"/>
        <v>102581578.09999999</v>
      </c>
    </row>
    <row r="19" spans="1:20" s="7" customFormat="1" ht="14.4" x14ac:dyDescent="0.2">
      <c r="A19" s="37" t="s">
        <v>52</v>
      </c>
      <c r="B19" s="423" t="s">
        <v>286</v>
      </c>
      <c r="C19" s="424" t="s">
        <v>287</v>
      </c>
      <c r="D19" s="453">
        <f>+'Prog 1'!D19+'Prog 2'!D19+'Prog 3'!D19</f>
        <v>110200000</v>
      </c>
      <c r="E19" s="453">
        <f>+'Prog 1'!E19+'Prog 2'!E19+'Prog 3'!E19</f>
        <v>0</v>
      </c>
      <c r="F19" s="453">
        <f>+'Prog 1'!F19+'Prog 2'!F19+'Prog 3'!F19</f>
        <v>0</v>
      </c>
      <c r="G19" s="453">
        <v>0</v>
      </c>
      <c r="H19" s="453">
        <v>0</v>
      </c>
      <c r="I19" s="453">
        <v>0</v>
      </c>
      <c r="J19" s="453">
        <v>0</v>
      </c>
      <c r="K19" s="453">
        <v>0</v>
      </c>
      <c r="L19" s="453">
        <f t="shared" ref="L19:L22" si="11">SUM(E19:K19)</f>
        <v>0</v>
      </c>
      <c r="M19" s="508">
        <f t="shared" ref="M19:M22" si="12">D19+L19</f>
        <v>110200000</v>
      </c>
      <c r="N19" s="620">
        <v>13198892.870000001</v>
      </c>
      <c r="O19" s="425">
        <f>'Prog 1'!N19+'Prog 2'!N19+'Prog 3'!N19</f>
        <v>5186579.459999999</v>
      </c>
      <c r="P19" s="425">
        <f>'Prog 1'!O19+'Prog 2'!O19+'Prog 3'!O19</f>
        <v>4990590.5399999991</v>
      </c>
      <c r="Q19" s="508">
        <f>'Prog 1'!P19+'Prog 2'!P19+'Prog 3'!P19</f>
        <v>9695428.1400000043</v>
      </c>
      <c r="R19" s="526">
        <f t="shared" ref="R19:R22" si="13">N19+O19+P19+Q19</f>
        <v>33071491.010000002</v>
      </c>
      <c r="S19" s="578">
        <f t="shared" si="4"/>
        <v>0.30010427413793106</v>
      </c>
      <c r="T19" s="576">
        <f t="shared" si="5"/>
        <v>77128508.989999995</v>
      </c>
    </row>
    <row r="20" spans="1:20" s="7" customFormat="1" ht="14.4" x14ac:dyDescent="0.2">
      <c r="A20" s="37" t="s">
        <v>52</v>
      </c>
      <c r="B20" s="423" t="s">
        <v>288</v>
      </c>
      <c r="C20" s="424" t="s">
        <v>56</v>
      </c>
      <c r="D20" s="453">
        <f>+'Prog 1'!D20+'Prog 2'!D20+'Prog 3'!D20</f>
        <v>6000000</v>
      </c>
      <c r="E20" s="453">
        <f>+'Prog 1'!E20+'Prog 2'!E20+'Prog 3'!E20</f>
        <v>0</v>
      </c>
      <c r="F20" s="453">
        <f>+'Prog 1'!F20+'Prog 2'!F20+'Prog 3'!F20</f>
        <v>0</v>
      </c>
      <c r="G20" s="453">
        <v>0</v>
      </c>
      <c r="H20" s="453">
        <v>0</v>
      </c>
      <c r="I20" s="453">
        <v>0</v>
      </c>
      <c r="J20" s="453">
        <v>0</v>
      </c>
      <c r="K20" s="453">
        <v>0</v>
      </c>
      <c r="L20" s="453">
        <f t="shared" si="11"/>
        <v>0</v>
      </c>
      <c r="M20" s="508">
        <f t="shared" si="12"/>
        <v>6000000</v>
      </c>
      <c r="N20" s="620">
        <v>1581081</v>
      </c>
      <c r="O20" s="425">
        <f>'Prog 1'!N20+'Prog 2'!N20+'Prog 3'!N20</f>
        <v>527027</v>
      </c>
      <c r="P20" s="425">
        <f>'Prog 1'!O20+'Prog 2'!O20+'Prog 3'!O20</f>
        <v>527027</v>
      </c>
      <c r="Q20" s="508">
        <f>'Prog 1'!P20+'Prog 2'!P20+'Prog 3'!P20</f>
        <v>527027</v>
      </c>
      <c r="R20" s="526">
        <f t="shared" si="13"/>
        <v>3162162</v>
      </c>
      <c r="S20" s="578">
        <f t="shared" si="4"/>
        <v>0.52702700000000002</v>
      </c>
      <c r="T20" s="576">
        <f t="shared" si="5"/>
        <v>2837838</v>
      </c>
    </row>
    <row r="21" spans="1:20" s="7" customFormat="1" ht="14.4" x14ac:dyDescent="0.2">
      <c r="A21" s="37" t="s">
        <v>52</v>
      </c>
      <c r="B21" s="423" t="s">
        <v>289</v>
      </c>
      <c r="C21" s="424" t="s">
        <v>57</v>
      </c>
      <c r="D21" s="453">
        <f>+'Prog 1'!D21+'Prog 2'!D21+'Prog 3'!D21</f>
        <v>12000000</v>
      </c>
      <c r="E21" s="453">
        <f>+'Prog 1'!E21+'Prog 2'!E21+'Prog 3'!E21</f>
        <v>0</v>
      </c>
      <c r="F21" s="453">
        <f>+'Prog 1'!F21+'Prog 2'!F21+'Prog 3'!F21</f>
        <v>0</v>
      </c>
      <c r="G21" s="453">
        <v>0</v>
      </c>
      <c r="H21" s="453">
        <v>0</v>
      </c>
      <c r="I21" s="453">
        <v>0</v>
      </c>
      <c r="J21" s="453">
        <v>0</v>
      </c>
      <c r="K21" s="453">
        <v>0</v>
      </c>
      <c r="L21" s="453">
        <f t="shared" si="11"/>
        <v>0</v>
      </c>
      <c r="M21" s="508">
        <f t="shared" si="12"/>
        <v>12000000</v>
      </c>
      <c r="N21" s="620">
        <v>2324617.4300000002</v>
      </c>
      <c r="O21" s="425">
        <f>'Prog 1'!N21+'Prog 2'!N21+'Prog 3'!N21</f>
        <v>745239.23999999976</v>
      </c>
      <c r="P21" s="425">
        <f>'Prog 1'!O21+'Prog 2'!O21+'Prog 3'!O21</f>
        <v>3653.6000000000931</v>
      </c>
      <c r="Q21" s="508">
        <f>'Prog 1'!P21+'Prog 2'!P21+'Prog 3'!P21</f>
        <v>0</v>
      </c>
      <c r="R21" s="526">
        <f t="shared" si="13"/>
        <v>3073510.27</v>
      </c>
      <c r="S21" s="578">
        <f t="shared" si="4"/>
        <v>0.25612585583333336</v>
      </c>
      <c r="T21" s="576">
        <f t="shared" si="5"/>
        <v>8926489.7300000004</v>
      </c>
    </row>
    <row r="22" spans="1:20" s="7" customFormat="1" ht="14.4" x14ac:dyDescent="0.2">
      <c r="A22" s="37" t="s">
        <v>52</v>
      </c>
      <c r="B22" s="423" t="s">
        <v>290</v>
      </c>
      <c r="C22" s="424" t="s">
        <v>58</v>
      </c>
      <c r="D22" s="453">
        <f>+'Prog 1'!D22+'Prog 2'!D22+'Prog 3'!D22</f>
        <v>17206914</v>
      </c>
      <c r="E22" s="453">
        <f>+'Prog 1'!E22+'Prog 2'!E22+'Prog 3'!E22</f>
        <v>0</v>
      </c>
      <c r="F22" s="453">
        <f>+'Prog 1'!F22+'Prog 2'!F22+'Prog 3'!F22</f>
        <v>0</v>
      </c>
      <c r="G22" s="453">
        <v>0</v>
      </c>
      <c r="H22" s="453">
        <v>0</v>
      </c>
      <c r="I22" s="453">
        <v>0</v>
      </c>
      <c r="J22" s="453">
        <v>0</v>
      </c>
      <c r="K22" s="453">
        <v>0</v>
      </c>
      <c r="L22" s="453">
        <f t="shared" si="11"/>
        <v>0</v>
      </c>
      <c r="M22" s="508">
        <f t="shared" si="12"/>
        <v>17206914</v>
      </c>
      <c r="N22" s="620">
        <v>2101817.37</v>
      </c>
      <c r="O22" s="425">
        <f>'Prog 1'!N22+'Prog 2'!N22+'Prog 3'!N22</f>
        <v>509887.88999999966</v>
      </c>
      <c r="P22" s="425">
        <f>'Prog 1'!O22+'Prog 2'!O22+'Prog 3'!O22</f>
        <v>906467.36000000034</v>
      </c>
      <c r="Q22" s="508">
        <f>'Prog 1'!P22+'Prog 2'!P22+'Prog 3'!P22</f>
        <v>0</v>
      </c>
      <c r="R22" s="526">
        <f t="shared" si="13"/>
        <v>3518172.62</v>
      </c>
      <c r="S22" s="578">
        <f t="shared" si="4"/>
        <v>0.20446273050472619</v>
      </c>
      <c r="T22" s="576">
        <f t="shared" si="5"/>
        <v>13688741.379999999</v>
      </c>
    </row>
    <row r="23" spans="1:20" s="8" customFormat="1" ht="14.4" x14ac:dyDescent="0.2">
      <c r="A23" s="28" t="s">
        <v>52</v>
      </c>
      <c r="B23" s="670" t="s">
        <v>59</v>
      </c>
      <c r="C23" s="654" t="s">
        <v>291</v>
      </c>
      <c r="D23" s="452">
        <f t="shared" ref="D23:R23" si="14">SUM(D24:D28)</f>
        <v>2128691324.28</v>
      </c>
      <c r="E23" s="452">
        <f t="shared" si="14"/>
        <v>0</v>
      </c>
      <c r="F23" s="452">
        <f t="shared" ref="F23" si="15">SUM(F24:F28)</f>
        <v>0</v>
      </c>
      <c r="G23" s="452">
        <f t="shared" si="14"/>
        <v>0</v>
      </c>
      <c r="H23" s="452">
        <f t="shared" si="14"/>
        <v>0</v>
      </c>
      <c r="I23" s="452">
        <f t="shared" si="14"/>
        <v>0</v>
      </c>
      <c r="J23" s="452">
        <f t="shared" si="14"/>
        <v>0</v>
      </c>
      <c r="K23" s="452">
        <f t="shared" si="14"/>
        <v>0</v>
      </c>
      <c r="L23" s="452">
        <f t="shared" si="14"/>
        <v>0</v>
      </c>
      <c r="M23" s="507">
        <f t="shared" si="14"/>
        <v>2128691324.28</v>
      </c>
      <c r="N23" s="619">
        <v>730660875.15999985</v>
      </c>
      <c r="O23" s="422">
        <f t="shared" si="14"/>
        <v>118611389.01000004</v>
      </c>
      <c r="P23" s="422">
        <f t="shared" si="14"/>
        <v>114435461.03999999</v>
      </c>
      <c r="Q23" s="507">
        <f t="shared" si="14"/>
        <v>113118548.56999999</v>
      </c>
      <c r="R23" s="524">
        <f t="shared" si="14"/>
        <v>1076826273.7800002</v>
      </c>
      <c r="S23" s="579">
        <f t="shared" si="4"/>
        <v>0.50586304434919493</v>
      </c>
      <c r="T23" s="575">
        <f t="shared" si="5"/>
        <v>1051865050.4999998</v>
      </c>
    </row>
    <row r="24" spans="1:20" s="7" customFormat="1" ht="28.8" x14ac:dyDescent="0.2">
      <c r="A24" s="37" t="s">
        <v>52</v>
      </c>
      <c r="B24" s="423" t="s">
        <v>292</v>
      </c>
      <c r="C24" s="424" t="s">
        <v>60</v>
      </c>
      <c r="D24" s="453">
        <f>+'Prog 1'!D24+'Prog 2'!D24+'Prog 3'!D24</f>
        <v>459634740</v>
      </c>
      <c r="E24" s="453">
        <f>+'Prog 1'!E24+'Prog 2'!E24+'Prog 3'!E24</f>
        <v>0</v>
      </c>
      <c r="F24" s="453">
        <f>+'Prog 1'!F24+'Prog 2'!F24+'Prog 3'!F24</f>
        <v>0</v>
      </c>
      <c r="G24" s="453">
        <v>0</v>
      </c>
      <c r="H24" s="453">
        <v>0</v>
      </c>
      <c r="I24" s="453">
        <v>0</v>
      </c>
      <c r="J24" s="453">
        <v>0</v>
      </c>
      <c r="K24" s="453">
        <v>0</v>
      </c>
      <c r="L24" s="453">
        <f t="shared" ref="L24:L28" si="16">SUM(E24:K24)</f>
        <v>0</v>
      </c>
      <c r="M24" s="508">
        <f t="shared" ref="M24:M28" si="17">D24+L24</f>
        <v>459634740</v>
      </c>
      <c r="N24" s="620">
        <v>124456210.92000002</v>
      </c>
      <c r="O24" s="425">
        <f>'Prog 1'!N24+'Prog 2'!N24+'Prog 3'!N24</f>
        <v>41574413.100000009</v>
      </c>
      <c r="P24" s="425">
        <f>'Prog 1'!O24+'Prog 2'!O24+'Prog 3'!O24</f>
        <v>41725260.739999995</v>
      </c>
      <c r="Q24" s="508">
        <f>'Prog 1'!P24+'Prog 2'!P24+'Prog 3'!P24</f>
        <v>39330355.059999987</v>
      </c>
      <c r="R24" s="526">
        <f t="shared" ref="R24:R28" si="18">N24+O24+P24+Q24</f>
        <v>247086239.82000005</v>
      </c>
      <c r="S24" s="578">
        <f t="shared" si="4"/>
        <v>0.53757085423960782</v>
      </c>
      <c r="T24" s="576">
        <f t="shared" si="5"/>
        <v>212548500.17999995</v>
      </c>
    </row>
    <row r="25" spans="1:20" s="7" customFormat="1" ht="28.8" x14ac:dyDescent="0.2">
      <c r="A25" s="37" t="s">
        <v>52</v>
      </c>
      <c r="B25" s="423" t="s">
        <v>293</v>
      </c>
      <c r="C25" s="424" t="s">
        <v>524</v>
      </c>
      <c r="D25" s="453">
        <f>+'Prog 1'!D25+'Prog 2'!D25+'Prog 3'!D25</f>
        <v>527948214.31999999</v>
      </c>
      <c r="E25" s="453">
        <f>+'Prog 1'!E25+'Prog 2'!E25+'Prog 3'!E25</f>
        <v>0</v>
      </c>
      <c r="F25" s="453">
        <f>+'Prog 1'!F25+'Prog 2'!F25+'Prog 3'!F25</f>
        <v>0</v>
      </c>
      <c r="G25" s="453">
        <v>0</v>
      </c>
      <c r="H25" s="453">
        <v>0</v>
      </c>
      <c r="I25" s="453">
        <v>0</v>
      </c>
      <c r="J25" s="453">
        <v>0</v>
      </c>
      <c r="K25" s="453">
        <v>0</v>
      </c>
      <c r="L25" s="453">
        <f t="shared" si="16"/>
        <v>0</v>
      </c>
      <c r="M25" s="508">
        <f t="shared" si="17"/>
        <v>527948214.31999999</v>
      </c>
      <c r="N25" s="620">
        <v>175917353.22</v>
      </c>
      <c r="O25" s="425">
        <f>'Prog 1'!N25+'Prog 2'!N25+'Prog 3'!N25</f>
        <v>59125188.170000002</v>
      </c>
      <c r="P25" s="425">
        <f>'Prog 1'!O25+'Prog 2'!O25+'Prog 3'!O25</f>
        <v>57317206.239999995</v>
      </c>
      <c r="Q25" s="508">
        <f>'Prog 1'!P25+'Prog 2'!P25+'Prog 3'!P25</f>
        <v>56990230.689999998</v>
      </c>
      <c r="R25" s="526">
        <f t="shared" si="18"/>
        <v>349349978.31999999</v>
      </c>
      <c r="S25" s="578">
        <f t="shared" si="4"/>
        <v>0.66171258628076723</v>
      </c>
      <c r="T25" s="576">
        <f t="shared" si="5"/>
        <v>178598236</v>
      </c>
    </row>
    <row r="26" spans="1:20" s="7" customFormat="1" ht="14.4" x14ac:dyDescent="0.2">
      <c r="A26" s="37" t="s">
        <v>52</v>
      </c>
      <c r="B26" s="423" t="s">
        <v>295</v>
      </c>
      <c r="C26" s="424" t="s">
        <v>296</v>
      </c>
      <c r="D26" s="453">
        <f>+'Prog 1'!D26+'Prog 2'!D26+'Prog 3'!D26</f>
        <v>512296080.67000002</v>
      </c>
      <c r="E26" s="453">
        <f>+'Prog 1'!E26+'Prog 2'!E26+'Prog 3'!E26</f>
        <v>0</v>
      </c>
      <c r="F26" s="453">
        <f>+'Prog 1'!F26+'Prog 2'!F26+'Prog 3'!F26</f>
        <v>0</v>
      </c>
      <c r="G26" s="453">
        <v>0</v>
      </c>
      <c r="H26" s="453">
        <v>0</v>
      </c>
      <c r="I26" s="453">
        <v>0</v>
      </c>
      <c r="J26" s="453">
        <v>0</v>
      </c>
      <c r="K26" s="453">
        <v>0</v>
      </c>
      <c r="L26" s="453">
        <f t="shared" si="16"/>
        <v>0</v>
      </c>
      <c r="M26" s="508">
        <f t="shared" si="17"/>
        <v>512296080.67000002</v>
      </c>
      <c r="N26" s="620">
        <v>811761.39</v>
      </c>
      <c r="O26" s="425">
        <f>'Prog 1'!N26+'Prog 2'!N26+'Prog 3'!N26</f>
        <v>763506.3</v>
      </c>
      <c r="P26" s="425">
        <f>'Prog 1'!O26+'Prog 2'!O26+'Prog 3'!O26</f>
        <v>343283.38</v>
      </c>
      <c r="Q26" s="508">
        <f>'Prog 1'!P26+'Prog 2'!P26+'Prog 3'!P26</f>
        <v>1357667.04</v>
      </c>
      <c r="R26" s="526">
        <f t="shared" si="18"/>
        <v>3276218.11</v>
      </c>
      <c r="S26" s="578">
        <f t="shared" si="4"/>
        <v>6.3951652835509479E-3</v>
      </c>
      <c r="T26" s="576">
        <f t="shared" si="5"/>
        <v>509019862.56</v>
      </c>
    </row>
    <row r="27" spans="1:20" s="7" customFormat="1" ht="14.4" x14ac:dyDescent="0.2">
      <c r="A27" s="37" t="s">
        <v>52</v>
      </c>
      <c r="B27" s="423" t="s">
        <v>297</v>
      </c>
      <c r="C27" s="424" t="s">
        <v>298</v>
      </c>
      <c r="D27" s="453">
        <f>+'Prog 1'!D27+'Prog 2'!D27+'Prog 3'!D27</f>
        <v>472715970.29000002</v>
      </c>
      <c r="E27" s="453">
        <f>+'Prog 1'!E27+'Prog 2'!E27+'Prog 3'!E27</f>
        <v>0</v>
      </c>
      <c r="F27" s="453">
        <f>+'Prog 1'!F27+'Prog 2'!F27+'Prog 3'!F27</f>
        <v>0</v>
      </c>
      <c r="G27" s="453">
        <v>0</v>
      </c>
      <c r="H27" s="453">
        <v>0</v>
      </c>
      <c r="I27" s="453">
        <v>0</v>
      </c>
      <c r="J27" s="453">
        <v>0</v>
      </c>
      <c r="K27" s="453">
        <v>0</v>
      </c>
      <c r="L27" s="453">
        <f t="shared" si="16"/>
        <v>0</v>
      </c>
      <c r="M27" s="508">
        <f t="shared" si="17"/>
        <v>472715970.29000002</v>
      </c>
      <c r="N27" s="620">
        <v>382503360.57999998</v>
      </c>
      <c r="O27" s="425">
        <f>'Prog 1'!N27+'Prog 2'!N27+'Prog 3'!N27</f>
        <v>246177.66000002623</v>
      </c>
      <c r="P27" s="425">
        <f>'Prog 1'!O27+'Prog 2'!O27+'Prog 3'!O27</f>
        <v>213688.15000000596</v>
      </c>
      <c r="Q27" s="508">
        <f>'Prog 1'!P27+'Prog 2'!P27+'Prog 3'!P27</f>
        <v>742433.75999999046</v>
      </c>
      <c r="R27" s="526">
        <f t="shared" si="18"/>
        <v>383705660.14999998</v>
      </c>
      <c r="S27" s="578">
        <f t="shared" si="4"/>
        <v>0.8117044573607396</v>
      </c>
      <c r="T27" s="576">
        <f t="shared" si="5"/>
        <v>89010310.140000045</v>
      </c>
    </row>
    <row r="28" spans="1:20" s="7" customFormat="1" ht="14.4" x14ac:dyDescent="0.2">
      <c r="A28" s="37" t="s">
        <v>52</v>
      </c>
      <c r="B28" s="423" t="s">
        <v>299</v>
      </c>
      <c r="C28" s="424" t="s">
        <v>300</v>
      </c>
      <c r="D28" s="453">
        <f>+'Prog 1'!D28+'Prog 2'!D28+'Prog 3'!D28</f>
        <v>156096319</v>
      </c>
      <c r="E28" s="453">
        <f>+'Prog 1'!E28+'Prog 2'!E28+'Prog 3'!E28</f>
        <v>0</v>
      </c>
      <c r="F28" s="453">
        <f>+'Prog 1'!F28+'Prog 2'!F28+'Prog 3'!F28</f>
        <v>0</v>
      </c>
      <c r="G28" s="453">
        <v>0</v>
      </c>
      <c r="H28" s="453">
        <v>0</v>
      </c>
      <c r="I28" s="453">
        <v>0</v>
      </c>
      <c r="J28" s="453">
        <v>0</v>
      </c>
      <c r="K28" s="453">
        <v>0</v>
      </c>
      <c r="L28" s="453">
        <f t="shared" si="16"/>
        <v>0</v>
      </c>
      <c r="M28" s="508">
        <f t="shared" si="17"/>
        <v>156096319</v>
      </c>
      <c r="N28" s="620">
        <v>46972189.050000004</v>
      </c>
      <c r="O28" s="425">
        <f>'Prog 1'!N28+'Prog 2'!N28+'Prog 3'!N28</f>
        <v>16902103.779999997</v>
      </c>
      <c r="P28" s="425">
        <f>'Prog 1'!O28+'Prog 2'!O28+'Prog 3'!O28</f>
        <v>14836022.529999997</v>
      </c>
      <c r="Q28" s="508">
        <f>'Prog 1'!P28+'Prog 2'!P28+'Prog 3'!P28</f>
        <v>14697862.020000003</v>
      </c>
      <c r="R28" s="526">
        <f t="shared" si="18"/>
        <v>93408177.379999995</v>
      </c>
      <c r="S28" s="578">
        <f t="shared" si="4"/>
        <v>0.59840089746126557</v>
      </c>
      <c r="T28" s="576">
        <f t="shared" si="5"/>
        <v>62688141.620000005</v>
      </c>
    </row>
    <row r="29" spans="1:20" s="8" customFormat="1" ht="28.8" x14ac:dyDescent="0.2">
      <c r="A29" s="28" t="s">
        <v>61</v>
      </c>
      <c r="B29" s="670" t="s">
        <v>62</v>
      </c>
      <c r="C29" s="654" t="s">
        <v>516</v>
      </c>
      <c r="D29" s="452">
        <f t="shared" ref="D29:R29" si="19">SUM(D30:D34)</f>
        <v>1029719241</v>
      </c>
      <c r="E29" s="452">
        <f t="shared" si="19"/>
        <v>0</v>
      </c>
      <c r="F29" s="452">
        <f t="shared" ref="F29" si="20">SUM(F30:F34)</f>
        <v>0</v>
      </c>
      <c r="G29" s="452">
        <f t="shared" si="19"/>
        <v>0</v>
      </c>
      <c r="H29" s="452">
        <f t="shared" si="19"/>
        <v>0</v>
      </c>
      <c r="I29" s="452">
        <f t="shared" si="19"/>
        <v>0</v>
      </c>
      <c r="J29" s="452">
        <f t="shared" si="19"/>
        <v>0</v>
      </c>
      <c r="K29" s="452">
        <f t="shared" si="19"/>
        <v>0</v>
      </c>
      <c r="L29" s="452">
        <f t="shared" si="19"/>
        <v>0</v>
      </c>
      <c r="M29" s="507">
        <f t="shared" si="19"/>
        <v>1029719241</v>
      </c>
      <c r="N29" s="619">
        <v>258115560.17999998</v>
      </c>
      <c r="O29" s="422">
        <f t="shared" si="19"/>
        <v>65638827.920000017</v>
      </c>
      <c r="P29" s="422">
        <f t="shared" si="19"/>
        <v>65493828.399999991</v>
      </c>
      <c r="Q29" s="507">
        <f t="shared" si="19"/>
        <v>65596237.289999992</v>
      </c>
      <c r="R29" s="524">
        <f t="shared" si="19"/>
        <v>454844453.78999996</v>
      </c>
      <c r="S29" s="579">
        <f t="shared" si="4"/>
        <v>0.44171696097305418</v>
      </c>
      <c r="T29" s="575">
        <f t="shared" si="5"/>
        <v>574874787.21000004</v>
      </c>
    </row>
    <row r="30" spans="1:20" s="7" customFormat="1" ht="28.8" x14ac:dyDescent="0.2">
      <c r="A30" s="37" t="s">
        <v>61</v>
      </c>
      <c r="B30" s="423" t="s">
        <v>301</v>
      </c>
      <c r="C30" s="424" t="s">
        <v>515</v>
      </c>
      <c r="D30" s="453">
        <f>+'Prog 1'!D30+'Prog 2'!D30+'Prog 3'!D30</f>
        <v>568650924.14999998</v>
      </c>
      <c r="E30" s="453">
        <f>+'Prog 1'!E30+'Prog 2'!E30+'Prog 3'!E30</f>
        <v>0</v>
      </c>
      <c r="F30" s="453">
        <f>+'Prog 1'!F30+'Prog 2'!F30+'Prog 3'!F30</f>
        <v>0</v>
      </c>
      <c r="G30" s="453">
        <v>0</v>
      </c>
      <c r="H30" s="453">
        <v>0</v>
      </c>
      <c r="I30" s="453">
        <v>0</v>
      </c>
      <c r="J30" s="453">
        <v>0</v>
      </c>
      <c r="K30" s="453">
        <v>0</v>
      </c>
      <c r="L30" s="453">
        <f t="shared" ref="L30:L34" si="21">SUM(E30:K30)</f>
        <v>0</v>
      </c>
      <c r="M30" s="508">
        <f t="shared" ref="M30:M34" si="22">D30+L30</f>
        <v>568650924.14999998</v>
      </c>
      <c r="N30" s="620">
        <v>142603009.48999998</v>
      </c>
      <c r="O30" s="425">
        <f>'Prog 1'!N30+'Prog 2'!N30+'Prog 3'!N30</f>
        <v>36251563.460000008</v>
      </c>
      <c r="P30" s="425">
        <f>'Prog 1'!O30+'Prog 2'!O30+'Prog 3'!O30</f>
        <v>36329057.819999985</v>
      </c>
      <c r="Q30" s="508">
        <f>'Prog 1'!P30+'Prog 2'!P30+'Prog 3'!P30</f>
        <v>36225818.660000004</v>
      </c>
      <c r="R30" s="526">
        <f t="shared" ref="R30:R34" si="23">N30+O30+P30+Q30</f>
        <v>251409449.42999998</v>
      </c>
      <c r="S30" s="578">
        <f t="shared" si="4"/>
        <v>0.44211560863248089</v>
      </c>
      <c r="T30" s="576">
        <f t="shared" si="5"/>
        <v>317241474.72000003</v>
      </c>
    </row>
    <row r="31" spans="1:20" s="7" customFormat="1" ht="14.4" x14ac:dyDescent="0.2">
      <c r="A31" s="37" t="s">
        <v>61</v>
      </c>
      <c r="B31" s="423" t="s">
        <v>302</v>
      </c>
      <c r="C31" s="424" t="s">
        <v>514</v>
      </c>
      <c r="D31" s="453">
        <f>+'Prog 1'!D31+'Prog 2'!D31+'Prog 3'!D31</f>
        <v>30737887.780000001</v>
      </c>
      <c r="E31" s="453">
        <f>+'Prog 1'!E31+'Prog 2'!E31+'Prog 3'!E31</f>
        <v>0</v>
      </c>
      <c r="F31" s="453">
        <f>+'Prog 1'!F31+'Prog 2'!F31+'Prog 3'!F31</f>
        <v>0</v>
      </c>
      <c r="G31" s="453">
        <v>0</v>
      </c>
      <c r="H31" s="453">
        <v>0</v>
      </c>
      <c r="I31" s="453">
        <v>0</v>
      </c>
      <c r="J31" s="453">
        <v>0</v>
      </c>
      <c r="K31" s="453">
        <v>0</v>
      </c>
      <c r="L31" s="453">
        <f t="shared" si="21"/>
        <v>0</v>
      </c>
      <c r="M31" s="508">
        <f t="shared" si="22"/>
        <v>30737887.780000001</v>
      </c>
      <c r="N31" s="620">
        <v>7700837.870000001</v>
      </c>
      <c r="O31" s="425">
        <f>'Prog 1'!N31+'Prog 2'!N31+'Prog 3'!N31</f>
        <v>1959151.5999999994</v>
      </c>
      <c r="P31" s="425">
        <f>'Prog 1'!O31+'Prog 2'!O31+'Prog 3'!O31</f>
        <v>1944318.4800000002</v>
      </c>
      <c r="Q31" s="508">
        <f>'Prog 1'!P31+'Prog 2'!P31+'Prog 3'!P31</f>
        <v>1958028.33</v>
      </c>
      <c r="R31" s="526">
        <f t="shared" si="23"/>
        <v>13562336.280000001</v>
      </c>
      <c r="S31" s="578">
        <f t="shared" si="4"/>
        <v>0.44122538207796141</v>
      </c>
      <c r="T31" s="576">
        <f t="shared" si="5"/>
        <v>17175551.5</v>
      </c>
    </row>
    <row r="32" spans="1:20" s="7" customFormat="1" ht="14.4" x14ac:dyDescent="0.2">
      <c r="A32" s="37" t="s">
        <v>61</v>
      </c>
      <c r="B32" s="423" t="s">
        <v>303</v>
      </c>
      <c r="C32" s="424" t="s">
        <v>517</v>
      </c>
      <c r="D32" s="453">
        <f>+'Prog 1'!D32+'Prog 2'!D32+'Prog 3'!D32</f>
        <v>92213663.370000005</v>
      </c>
      <c r="E32" s="453">
        <f>+'Prog 1'!E32+'Prog 2'!E32+'Prog 3'!E32</f>
        <v>0</v>
      </c>
      <c r="F32" s="453">
        <f>+'Prog 1'!F32+'Prog 2'!F32+'Prog 3'!F32</f>
        <v>0</v>
      </c>
      <c r="G32" s="453">
        <v>0</v>
      </c>
      <c r="H32" s="453">
        <v>0</v>
      </c>
      <c r="I32" s="453">
        <v>0</v>
      </c>
      <c r="J32" s="453">
        <v>0</v>
      </c>
      <c r="K32" s="453">
        <v>0</v>
      </c>
      <c r="L32" s="453">
        <f t="shared" si="21"/>
        <v>0</v>
      </c>
      <c r="M32" s="508">
        <f t="shared" si="22"/>
        <v>92213663.370000005</v>
      </c>
      <c r="N32" s="620">
        <v>23102509.979999997</v>
      </c>
      <c r="O32" s="425">
        <f>'Prog 1'!N32+'Prog 2'!N32+'Prog 3'!N32</f>
        <v>5877453.3800000008</v>
      </c>
      <c r="P32" s="425">
        <f>'Prog 1'!O32+'Prog 2'!O32+'Prog 3'!O32</f>
        <v>5832954.0099999988</v>
      </c>
      <c r="Q32" s="508">
        <f>'Prog 1'!P32+'Prog 2'!P32+'Prog 3'!P32</f>
        <v>5874083.620000001</v>
      </c>
      <c r="R32" s="526">
        <f t="shared" si="23"/>
        <v>40687000.989999995</v>
      </c>
      <c r="S32" s="578">
        <f t="shared" si="4"/>
        <v>0.44122529680603439</v>
      </c>
      <c r="T32" s="576">
        <f t="shared" si="5"/>
        <v>51526662.38000001</v>
      </c>
    </row>
    <row r="33" spans="1:20" s="7" customFormat="1" ht="14.4" x14ac:dyDescent="0.2">
      <c r="A33" s="37" t="s">
        <v>61</v>
      </c>
      <c r="B33" s="423" t="s">
        <v>304</v>
      </c>
      <c r="C33" s="424" t="s">
        <v>518</v>
      </c>
      <c r="D33" s="453">
        <f>+'Prog 1'!D33+'Prog 2'!D33+'Prog 3'!D33</f>
        <v>307378877.92000002</v>
      </c>
      <c r="E33" s="453">
        <f>+'Prog 1'!E33+'Prog 2'!E33+'Prog 3'!E33</f>
        <v>0</v>
      </c>
      <c r="F33" s="453">
        <f>+'Prog 1'!F33+'Prog 2'!F33+'Prog 3'!F33</f>
        <v>0</v>
      </c>
      <c r="G33" s="453">
        <v>0</v>
      </c>
      <c r="H33" s="453">
        <v>0</v>
      </c>
      <c r="I33" s="453">
        <v>0</v>
      </c>
      <c r="J33" s="453">
        <v>0</v>
      </c>
      <c r="K33" s="453">
        <v>0</v>
      </c>
      <c r="L33" s="453">
        <f t="shared" si="21"/>
        <v>0</v>
      </c>
      <c r="M33" s="508">
        <f t="shared" si="22"/>
        <v>307378877.92000002</v>
      </c>
      <c r="N33" s="620">
        <v>77008365.159999996</v>
      </c>
      <c r="O33" s="425">
        <f>'Prog 1'!N33+'Prog 2'!N33+'Prog 3'!N33</f>
        <v>19591510.98</v>
      </c>
      <c r="P33" s="425">
        <f>'Prog 1'!O33+'Prog 2'!O33+'Prog 3'!O33</f>
        <v>19443179.610000003</v>
      </c>
      <c r="Q33" s="508">
        <f>'Prog 1'!P33+'Prog 2'!P33+'Prog 3'!P33</f>
        <v>19580278.349999998</v>
      </c>
      <c r="R33" s="526">
        <f t="shared" si="23"/>
        <v>135623334.09999999</v>
      </c>
      <c r="S33" s="578">
        <f t="shared" si="4"/>
        <v>0.44122528853559678</v>
      </c>
      <c r="T33" s="576">
        <f t="shared" si="5"/>
        <v>171755543.82000002</v>
      </c>
    </row>
    <row r="34" spans="1:20" s="7" customFormat="1" ht="14.4" x14ac:dyDescent="0.2">
      <c r="A34" s="37" t="s">
        <v>61</v>
      </c>
      <c r="B34" s="423" t="s">
        <v>305</v>
      </c>
      <c r="C34" s="424" t="s">
        <v>519</v>
      </c>
      <c r="D34" s="453">
        <f>+'Prog 1'!D34+'Prog 2'!D34+'Prog 3'!D34</f>
        <v>30737887.780000001</v>
      </c>
      <c r="E34" s="453">
        <f>+'Prog 1'!E34+'Prog 2'!E34+'Prog 3'!E34</f>
        <v>0</v>
      </c>
      <c r="F34" s="453">
        <f>+'Prog 1'!F34+'Prog 2'!F34+'Prog 3'!F34</f>
        <v>0</v>
      </c>
      <c r="G34" s="453">
        <v>0</v>
      </c>
      <c r="H34" s="453">
        <v>0</v>
      </c>
      <c r="I34" s="453">
        <v>0</v>
      </c>
      <c r="J34" s="453">
        <v>0</v>
      </c>
      <c r="K34" s="453">
        <v>0</v>
      </c>
      <c r="L34" s="453">
        <f t="shared" si="21"/>
        <v>0</v>
      </c>
      <c r="M34" s="508">
        <f t="shared" si="22"/>
        <v>30737887.780000001</v>
      </c>
      <c r="N34" s="620">
        <v>7700837.6800000006</v>
      </c>
      <c r="O34" s="425">
        <f>'Prog 1'!N34+'Prog 2'!N34+'Prog 3'!N34</f>
        <v>1959148.5000000002</v>
      </c>
      <c r="P34" s="425">
        <f>'Prog 1'!O34+'Prog 2'!O34+'Prog 3'!O34</f>
        <v>1944318.4800000007</v>
      </c>
      <c r="Q34" s="508">
        <f>'Prog 1'!P34+'Prog 2'!P34+'Prog 3'!P34</f>
        <v>1958028.3299999991</v>
      </c>
      <c r="R34" s="526">
        <f t="shared" si="23"/>
        <v>13562332.990000002</v>
      </c>
      <c r="S34" s="578">
        <f t="shared" si="4"/>
        <v>0.4412252750439315</v>
      </c>
      <c r="T34" s="576">
        <f t="shared" si="5"/>
        <v>17175554.789999999</v>
      </c>
    </row>
    <row r="35" spans="1:20" s="8" customFormat="1" ht="28.8" x14ac:dyDescent="0.2">
      <c r="A35" s="28" t="s">
        <v>61</v>
      </c>
      <c r="B35" s="670" t="s">
        <v>63</v>
      </c>
      <c r="C35" s="654" t="s">
        <v>520</v>
      </c>
      <c r="D35" s="452">
        <f t="shared" ref="D35:R35" si="24">SUM(D36:D39)</f>
        <v>858663796.65999997</v>
      </c>
      <c r="E35" s="452">
        <f t="shared" si="24"/>
        <v>0</v>
      </c>
      <c r="F35" s="452">
        <f t="shared" ref="F35" si="25">SUM(F36:F39)</f>
        <v>0</v>
      </c>
      <c r="G35" s="452">
        <f t="shared" si="24"/>
        <v>0</v>
      </c>
      <c r="H35" s="452">
        <f t="shared" si="24"/>
        <v>0</v>
      </c>
      <c r="I35" s="452">
        <f t="shared" si="24"/>
        <v>0</v>
      </c>
      <c r="J35" s="452">
        <f t="shared" si="24"/>
        <v>0</v>
      </c>
      <c r="K35" s="452">
        <f t="shared" si="24"/>
        <v>0</v>
      </c>
      <c r="L35" s="452">
        <f t="shared" si="24"/>
        <v>0</v>
      </c>
      <c r="M35" s="507">
        <f t="shared" si="24"/>
        <v>858663796.65999997</v>
      </c>
      <c r="N35" s="619">
        <v>213549115.92999998</v>
      </c>
      <c r="O35" s="422">
        <f t="shared" si="24"/>
        <v>54427410.259999998</v>
      </c>
      <c r="P35" s="422">
        <f t="shared" si="24"/>
        <v>53761707.790000007</v>
      </c>
      <c r="Q35" s="507">
        <f t="shared" si="24"/>
        <v>53930325.079999998</v>
      </c>
      <c r="R35" s="524">
        <f t="shared" si="24"/>
        <v>375668559.05999994</v>
      </c>
      <c r="S35" s="579">
        <f t="shared" si="4"/>
        <v>0.43750366618606978</v>
      </c>
      <c r="T35" s="575">
        <f t="shared" si="5"/>
        <v>482995237.60000002</v>
      </c>
    </row>
    <row r="36" spans="1:20" s="7" customFormat="1" ht="28.8" x14ac:dyDescent="0.2">
      <c r="A36" s="37" t="s">
        <v>61</v>
      </c>
      <c r="B36" s="423" t="s">
        <v>306</v>
      </c>
      <c r="C36" s="424" t="s">
        <v>521</v>
      </c>
      <c r="D36" s="453">
        <f>+'Prog 1'!D36+'Prog 2'!D36+'Prog 3'!D36</f>
        <v>343034827.75999999</v>
      </c>
      <c r="E36" s="453">
        <f>+'Prog 1'!E36+'Prog 2'!E36+'Prog 3'!E36</f>
        <v>0</v>
      </c>
      <c r="F36" s="453">
        <f>+'Prog 1'!F36+'Prog 2'!F36+'Prog 3'!F36</f>
        <v>0</v>
      </c>
      <c r="G36" s="453">
        <v>0</v>
      </c>
      <c r="H36" s="453">
        <v>0</v>
      </c>
      <c r="I36" s="453">
        <v>0</v>
      </c>
      <c r="J36" s="453">
        <v>0</v>
      </c>
      <c r="K36" s="453">
        <v>0</v>
      </c>
      <c r="L36" s="453">
        <f t="shared" ref="L36:L39" si="26">SUM(E36:K36)</f>
        <v>0</v>
      </c>
      <c r="M36" s="508">
        <f t="shared" ref="M36:M39" si="27">D36+L36</f>
        <v>343034827.75999999</v>
      </c>
      <c r="N36" s="620">
        <v>85940433.449999988</v>
      </c>
      <c r="O36" s="425">
        <f>'Prog 1'!N36+'Prog 2'!N36+'Prog 3'!N36</f>
        <v>21864125.859999999</v>
      </c>
      <c r="P36" s="425">
        <f>'Prog 1'!O36+'Prog 2'!O36+'Prog 3'!O36</f>
        <v>21698588.020000007</v>
      </c>
      <c r="Q36" s="508">
        <f>'Prog 1'!P36+'Prog 2'!P36+'Prog 3'!P36</f>
        <v>21851590.019999996</v>
      </c>
      <c r="R36" s="526">
        <f t="shared" ref="R36:R39" si="28">N36+O36+P36+Q36</f>
        <v>151354737.34999999</v>
      </c>
      <c r="S36" s="578">
        <f t="shared" si="4"/>
        <v>0.44122265467427535</v>
      </c>
      <c r="T36" s="576">
        <f t="shared" si="5"/>
        <v>191680090.41</v>
      </c>
    </row>
    <row r="37" spans="1:20" s="7" customFormat="1" ht="28.8" x14ac:dyDescent="0.2">
      <c r="A37" s="37" t="s">
        <v>61</v>
      </c>
      <c r="B37" s="423" t="s">
        <v>307</v>
      </c>
      <c r="C37" s="424" t="s">
        <v>522</v>
      </c>
      <c r="D37" s="453">
        <f>+'Prog 1'!D37+'Prog 2'!D37+'Prog 3'!D37</f>
        <v>184427326.75999999</v>
      </c>
      <c r="E37" s="453">
        <f>+'Prog 1'!E37+'Prog 2'!E37+'Prog 3'!E37</f>
        <v>0</v>
      </c>
      <c r="F37" s="453">
        <f>+'Prog 1'!F37+'Prog 2'!F37+'Prog 3'!F37</f>
        <v>0</v>
      </c>
      <c r="G37" s="453">
        <v>0</v>
      </c>
      <c r="H37" s="453">
        <v>0</v>
      </c>
      <c r="I37" s="453">
        <v>0</v>
      </c>
      <c r="J37" s="453">
        <v>0</v>
      </c>
      <c r="K37" s="453">
        <v>0</v>
      </c>
      <c r="L37" s="453">
        <f t="shared" si="26"/>
        <v>0</v>
      </c>
      <c r="M37" s="508">
        <f t="shared" si="27"/>
        <v>184427326.75999999</v>
      </c>
      <c r="N37" s="620">
        <v>46205020.739999995</v>
      </c>
      <c r="O37" s="425">
        <f>'Prog 1'!N37+'Prog 2'!N37+'Prog 3'!N37</f>
        <v>11754907.289999997</v>
      </c>
      <c r="P37" s="425">
        <f>'Prog 1'!O37+'Prog 2'!O37+'Prog 3'!O37</f>
        <v>11665908.500000004</v>
      </c>
      <c r="Q37" s="508">
        <f>'Prog 1'!P37+'Prog 2'!P37+'Prog 3'!P37</f>
        <v>11748167.719999999</v>
      </c>
      <c r="R37" s="526">
        <f t="shared" si="28"/>
        <v>81374004.25</v>
      </c>
      <c r="S37" s="578">
        <f t="shared" si="4"/>
        <v>0.44122530906655755</v>
      </c>
      <c r="T37" s="576">
        <f t="shared" si="5"/>
        <v>103053322.50999999</v>
      </c>
    </row>
    <row r="38" spans="1:20" s="7" customFormat="1" ht="28.8" x14ac:dyDescent="0.2">
      <c r="A38" s="37" t="s">
        <v>61</v>
      </c>
      <c r="B38" s="423" t="s">
        <v>308</v>
      </c>
      <c r="C38" s="424" t="s">
        <v>523</v>
      </c>
      <c r="D38" s="453">
        <f>+'Prog 1'!D38+'Prog 2'!D38+'Prog 3'!D38</f>
        <v>92213663.370000005</v>
      </c>
      <c r="E38" s="453">
        <f>+'Prog 1'!E38+'Prog 2'!E38+'Prog 3'!E38</f>
        <v>0</v>
      </c>
      <c r="F38" s="453">
        <f>+'Prog 1'!F38+'Prog 2'!F38+'Prog 3'!F38</f>
        <v>0</v>
      </c>
      <c r="G38" s="453">
        <v>0</v>
      </c>
      <c r="H38" s="453">
        <v>0</v>
      </c>
      <c r="I38" s="453">
        <v>0</v>
      </c>
      <c r="J38" s="453">
        <v>0</v>
      </c>
      <c r="K38" s="453">
        <v>0</v>
      </c>
      <c r="L38" s="453">
        <f t="shared" si="26"/>
        <v>0</v>
      </c>
      <c r="M38" s="508">
        <f t="shared" si="27"/>
        <v>92213663.370000005</v>
      </c>
      <c r="N38" s="620">
        <v>23102509.979999997</v>
      </c>
      <c r="O38" s="425">
        <f>'Prog 1'!N38+'Prog 2'!N38+'Prog 3'!N38</f>
        <v>5877453.3800000008</v>
      </c>
      <c r="P38" s="425">
        <f>'Prog 1'!O38+'Prog 2'!O38+'Prog 3'!O38</f>
        <v>5832954.0099999988</v>
      </c>
      <c r="Q38" s="508">
        <f>'Prog 1'!P38+'Prog 2'!P38+'Prog 3'!P38</f>
        <v>5874083.620000001</v>
      </c>
      <c r="R38" s="526">
        <f t="shared" si="28"/>
        <v>40687000.989999995</v>
      </c>
      <c r="S38" s="578">
        <f t="shared" si="4"/>
        <v>0.44122529680603439</v>
      </c>
      <c r="T38" s="576">
        <f t="shared" si="5"/>
        <v>51526662.38000001</v>
      </c>
    </row>
    <row r="39" spans="1:20" s="7" customFormat="1" ht="28.8" x14ac:dyDescent="0.2">
      <c r="A39" s="37" t="s">
        <v>61</v>
      </c>
      <c r="B39" s="423" t="s">
        <v>310</v>
      </c>
      <c r="C39" s="424" t="s">
        <v>525</v>
      </c>
      <c r="D39" s="453">
        <f>+'Prog 1'!D39+'Prog 2'!D39+'Prog 3'!D39</f>
        <v>238987978.77000001</v>
      </c>
      <c r="E39" s="453">
        <f>+'Prog 1'!E39+'Prog 2'!E39+'Prog 3'!E39</f>
        <v>0</v>
      </c>
      <c r="F39" s="453">
        <f>+'Prog 1'!F39+'Prog 2'!F39+'Prog 3'!F39</f>
        <v>0</v>
      </c>
      <c r="G39" s="453">
        <v>0</v>
      </c>
      <c r="H39" s="453">
        <v>0</v>
      </c>
      <c r="I39" s="453">
        <v>0</v>
      </c>
      <c r="J39" s="453">
        <v>0</v>
      </c>
      <c r="K39" s="453">
        <v>0</v>
      </c>
      <c r="L39" s="453">
        <f t="shared" si="26"/>
        <v>0</v>
      </c>
      <c r="M39" s="508">
        <f t="shared" si="27"/>
        <v>238987978.77000001</v>
      </c>
      <c r="N39" s="620">
        <v>58301151.759999998</v>
      </c>
      <c r="O39" s="425">
        <f>'Prog 1'!N39+'Prog 2'!N39+'Prog 3'!N39</f>
        <v>14930923.729999999</v>
      </c>
      <c r="P39" s="425">
        <f>'Prog 1'!O39+'Prog 2'!O39+'Prog 3'!O39</f>
        <v>14564257.260000002</v>
      </c>
      <c r="Q39" s="508">
        <f>'Prog 1'!P39+'Prog 2'!P39+'Prog 3'!P39</f>
        <v>14456483.719999999</v>
      </c>
      <c r="R39" s="526">
        <f t="shared" si="28"/>
        <v>102252816.47</v>
      </c>
      <c r="S39" s="578">
        <f t="shared" si="4"/>
        <v>0.42785757257023893</v>
      </c>
      <c r="T39" s="576">
        <f t="shared" si="5"/>
        <v>136735162.30000001</v>
      </c>
    </row>
    <row r="40" spans="1:20" s="8" customFormat="1" ht="14.4" x14ac:dyDescent="0.2">
      <c r="A40" s="37"/>
      <c r="B40" s="429"/>
      <c r="C40" s="654"/>
      <c r="D40" s="671"/>
      <c r="E40" s="671"/>
      <c r="F40" s="671"/>
      <c r="G40" s="671"/>
      <c r="H40" s="671"/>
      <c r="I40" s="671"/>
      <c r="J40" s="671"/>
      <c r="K40" s="671"/>
      <c r="L40" s="671"/>
      <c r="M40" s="672"/>
      <c r="N40" s="673"/>
      <c r="O40" s="674"/>
      <c r="P40" s="674"/>
      <c r="Q40" s="672"/>
      <c r="R40" s="675"/>
      <c r="S40" s="578"/>
      <c r="T40" s="576"/>
    </row>
    <row r="41" spans="1:20" s="8" customFormat="1" ht="14.4" x14ac:dyDescent="0.2">
      <c r="A41" s="535" t="s">
        <v>64</v>
      </c>
      <c r="B41" s="439" t="s">
        <v>65</v>
      </c>
      <c r="C41" s="655" t="s">
        <v>66</v>
      </c>
      <c r="D41" s="548">
        <f t="shared" ref="D41:R41" si="29">SUM(D42+D47+D52+D58+D66+D71+D73+D77+D83+D85)</f>
        <v>5755656689.8999996</v>
      </c>
      <c r="E41" s="548">
        <f t="shared" si="29"/>
        <v>3164452</v>
      </c>
      <c r="F41" s="548">
        <f t="shared" ref="F41" si="30">SUM(F42+F47+F52+F58+F66+F71+F73+F77+F83+F85)</f>
        <v>10847340</v>
      </c>
      <c r="G41" s="548">
        <f t="shared" si="29"/>
        <v>0</v>
      </c>
      <c r="H41" s="548">
        <f t="shared" si="29"/>
        <v>0</v>
      </c>
      <c r="I41" s="548">
        <f t="shared" si="29"/>
        <v>0</v>
      </c>
      <c r="J41" s="548">
        <f t="shared" si="29"/>
        <v>0</v>
      </c>
      <c r="K41" s="548">
        <f t="shared" si="29"/>
        <v>0</v>
      </c>
      <c r="L41" s="548">
        <f t="shared" si="29"/>
        <v>14011792</v>
      </c>
      <c r="M41" s="510">
        <f t="shared" si="29"/>
        <v>5769668481.8999996</v>
      </c>
      <c r="N41" s="621">
        <v>756387555.94999993</v>
      </c>
      <c r="O41" s="441">
        <f t="shared" si="29"/>
        <v>293602558.26000005</v>
      </c>
      <c r="P41" s="441">
        <f t="shared" si="29"/>
        <v>319621337.13999999</v>
      </c>
      <c r="Q41" s="510">
        <f t="shared" si="29"/>
        <v>373481161.33000004</v>
      </c>
      <c r="R41" s="530">
        <f t="shared" si="29"/>
        <v>1743092612.6799998</v>
      </c>
      <c r="S41" s="577">
        <f t="shared" si="4"/>
        <v>0.30211313148203361</v>
      </c>
      <c r="T41" s="574">
        <f t="shared" si="5"/>
        <v>4026575869.2199998</v>
      </c>
    </row>
    <row r="42" spans="1:20" s="8" customFormat="1" ht="14.4" x14ac:dyDescent="0.2">
      <c r="A42" s="28" t="s">
        <v>64</v>
      </c>
      <c r="B42" s="420" t="s">
        <v>311</v>
      </c>
      <c r="C42" s="654" t="s">
        <v>312</v>
      </c>
      <c r="D42" s="452">
        <f t="shared" ref="D42:R42" si="31">SUM(D43:D46)</f>
        <v>1108992990</v>
      </c>
      <c r="E42" s="452">
        <f t="shared" si="31"/>
        <v>0</v>
      </c>
      <c r="F42" s="452">
        <f t="shared" ref="F42" si="32">SUM(F43:F46)</f>
        <v>3000000</v>
      </c>
      <c r="G42" s="452">
        <f t="shared" si="31"/>
        <v>0</v>
      </c>
      <c r="H42" s="452">
        <f t="shared" si="31"/>
        <v>0</v>
      </c>
      <c r="I42" s="452">
        <f t="shared" si="31"/>
        <v>0</v>
      </c>
      <c r="J42" s="452">
        <f t="shared" si="31"/>
        <v>0</v>
      </c>
      <c r="K42" s="452">
        <f t="shared" si="31"/>
        <v>0</v>
      </c>
      <c r="L42" s="452">
        <f t="shared" si="31"/>
        <v>3000000</v>
      </c>
      <c r="M42" s="507">
        <f t="shared" si="31"/>
        <v>1111992990</v>
      </c>
      <c r="N42" s="619">
        <v>237888271.36999997</v>
      </c>
      <c r="O42" s="422">
        <f t="shared" si="31"/>
        <v>96599851.99000001</v>
      </c>
      <c r="P42" s="422">
        <f t="shared" si="31"/>
        <v>62994356.819999985</v>
      </c>
      <c r="Q42" s="507">
        <f t="shared" si="31"/>
        <v>83899212.030000016</v>
      </c>
      <c r="R42" s="524">
        <f t="shared" si="31"/>
        <v>481381692.21000004</v>
      </c>
      <c r="S42" s="579">
        <f t="shared" si="4"/>
        <v>0.43289993420731909</v>
      </c>
      <c r="T42" s="575">
        <f t="shared" si="5"/>
        <v>630611297.78999996</v>
      </c>
    </row>
    <row r="43" spans="1:20" s="7" customFormat="1" ht="28.8" x14ac:dyDescent="0.2">
      <c r="A43" s="37" t="s">
        <v>64</v>
      </c>
      <c r="B43" s="423" t="s">
        <v>313</v>
      </c>
      <c r="C43" s="424" t="s">
        <v>67</v>
      </c>
      <c r="D43" s="453">
        <f>+'Prog 1'!D43+'Prog 2'!D43+'Prog 3'!D43</f>
        <v>858292990</v>
      </c>
      <c r="E43" s="453">
        <f>+'Prog 1'!E43+'Prog 2'!E43+'Prog 3'!E43</f>
        <v>0</v>
      </c>
      <c r="F43" s="453">
        <f>+'Prog 1'!F43+'Prog 2'!F43+'Prog 3'!F43</f>
        <v>0</v>
      </c>
      <c r="G43" s="453">
        <v>0</v>
      </c>
      <c r="H43" s="453">
        <v>0</v>
      </c>
      <c r="I43" s="453">
        <v>0</v>
      </c>
      <c r="J43" s="453">
        <v>0</v>
      </c>
      <c r="K43" s="453">
        <v>0</v>
      </c>
      <c r="L43" s="453">
        <f t="shared" ref="L43:L46" si="33">SUM(E43:K43)</f>
        <v>0</v>
      </c>
      <c r="M43" s="508">
        <f t="shared" ref="M43:M46" si="34">D43+L43</f>
        <v>858292990</v>
      </c>
      <c r="N43" s="620">
        <v>190235745.53999999</v>
      </c>
      <c r="O43" s="425">
        <f>'Prog 1'!N43+'Prog 2'!N43+'Prog 3'!N43</f>
        <v>76291046.879999995</v>
      </c>
      <c r="P43" s="425">
        <f>'Prog 1'!O43+'Prog 2'!O43+'Prog 3'!O43</f>
        <v>50532783.479999989</v>
      </c>
      <c r="Q43" s="508">
        <f>'Prog 1'!P43+'Prog 2'!P43+'Prog 3'!P43</f>
        <v>63411915.180000007</v>
      </c>
      <c r="R43" s="526">
        <f t="shared" ref="R43:R46" si="35">N43+O43+P43+Q43</f>
        <v>380471491.07999998</v>
      </c>
      <c r="S43" s="578">
        <f t="shared" si="4"/>
        <v>0.44328859202263782</v>
      </c>
      <c r="T43" s="576">
        <f t="shared" si="5"/>
        <v>477821498.92000002</v>
      </c>
    </row>
    <row r="44" spans="1:20" s="7" customFormat="1" ht="28.8" x14ac:dyDescent="0.2">
      <c r="A44" s="37" t="s">
        <v>64</v>
      </c>
      <c r="B44" s="423" t="s">
        <v>314</v>
      </c>
      <c r="C44" s="424" t="s">
        <v>315</v>
      </c>
      <c r="D44" s="453">
        <f>+'Prog 1'!D44+'Prog 2'!D44+'Prog 3'!D44</f>
        <v>80000000</v>
      </c>
      <c r="E44" s="453">
        <f>+'Prog 1'!E44+'Prog 2'!E44+'Prog 3'!E44</f>
        <v>0</v>
      </c>
      <c r="F44" s="453">
        <f>+'Prog 1'!F44+'Prog 2'!F44+'Prog 3'!F44</f>
        <v>3000000</v>
      </c>
      <c r="G44" s="453">
        <v>0</v>
      </c>
      <c r="H44" s="453">
        <v>0</v>
      </c>
      <c r="I44" s="453">
        <v>0</v>
      </c>
      <c r="J44" s="453">
        <v>0</v>
      </c>
      <c r="K44" s="453">
        <v>0</v>
      </c>
      <c r="L44" s="453">
        <f t="shared" si="33"/>
        <v>3000000</v>
      </c>
      <c r="M44" s="508">
        <f t="shared" si="34"/>
        <v>83000000</v>
      </c>
      <c r="N44" s="620">
        <v>8556394.0099999998</v>
      </c>
      <c r="O44" s="425">
        <f>'Prog 1'!N44+'Prog 2'!N44+'Prog 3'!N44</f>
        <v>7996929.2599999998</v>
      </c>
      <c r="P44" s="425">
        <f>'Prog 1'!O44+'Prog 2'!O44+'Prog 3'!O44</f>
        <v>394424</v>
      </c>
      <c r="Q44" s="508">
        <f>'Prog 1'!P44+'Prog 2'!P44+'Prog 3'!P44</f>
        <v>8483597.2100000009</v>
      </c>
      <c r="R44" s="526">
        <f t="shared" si="35"/>
        <v>25431344.48</v>
      </c>
      <c r="S44" s="578">
        <f t="shared" si="4"/>
        <v>0.30640174072289156</v>
      </c>
      <c r="T44" s="576">
        <f t="shared" si="5"/>
        <v>57568655.519999996</v>
      </c>
    </row>
    <row r="45" spans="1:20" s="7" customFormat="1" ht="28.8" x14ac:dyDescent="0.2">
      <c r="A45" s="37" t="s">
        <v>64</v>
      </c>
      <c r="B45" s="423" t="s">
        <v>316</v>
      </c>
      <c r="C45" s="424" t="s">
        <v>317</v>
      </c>
      <c r="D45" s="453">
        <f>+'Prog 1'!D45+'Prog 2'!D45+'Prog 3'!D45</f>
        <v>170000000</v>
      </c>
      <c r="E45" s="453">
        <f>+'Prog 1'!E45+'Prog 2'!E45+'Prog 3'!E45</f>
        <v>0</v>
      </c>
      <c r="F45" s="453">
        <f>+'Prog 1'!F45+'Prog 2'!F45+'Prog 3'!F45</f>
        <v>0</v>
      </c>
      <c r="G45" s="453">
        <v>0</v>
      </c>
      <c r="H45" s="453">
        <v>0</v>
      </c>
      <c r="I45" s="453">
        <v>0</v>
      </c>
      <c r="J45" s="453">
        <v>0</v>
      </c>
      <c r="K45" s="453">
        <v>0</v>
      </c>
      <c r="L45" s="453">
        <f t="shared" si="33"/>
        <v>0</v>
      </c>
      <c r="M45" s="508">
        <f t="shared" si="34"/>
        <v>170000000</v>
      </c>
      <c r="N45" s="620">
        <v>38726171.25</v>
      </c>
      <c r="O45" s="425">
        <f>'Prog 1'!N45+'Prog 2'!N45+'Prog 3'!N45</f>
        <v>12300817.670000002</v>
      </c>
      <c r="P45" s="425">
        <f>'Prog 1'!O45+'Prog 2'!O45+'Prog 3'!O45</f>
        <v>12056233.539999999</v>
      </c>
      <c r="Q45" s="508">
        <f>'Prog 1'!P45+'Prog 2'!P45+'Prog 3'!P45</f>
        <v>11992783.839999996</v>
      </c>
      <c r="R45" s="526">
        <f t="shared" si="35"/>
        <v>75076006.299999997</v>
      </c>
      <c r="S45" s="578">
        <f t="shared" si="4"/>
        <v>0.4416235664705882</v>
      </c>
      <c r="T45" s="576">
        <f t="shared" si="5"/>
        <v>94923993.700000003</v>
      </c>
    </row>
    <row r="46" spans="1:20" s="8" customFormat="1" ht="14.4" x14ac:dyDescent="0.2">
      <c r="A46" s="37" t="s">
        <v>64</v>
      </c>
      <c r="B46" s="423" t="s">
        <v>318</v>
      </c>
      <c r="C46" s="424" t="s">
        <v>68</v>
      </c>
      <c r="D46" s="453">
        <f>+'Prog 1'!D46+'Prog 2'!D46+'Prog 3'!D46</f>
        <v>700000</v>
      </c>
      <c r="E46" s="453">
        <f>+'Prog 1'!E46+'Prog 2'!E46+'Prog 3'!E46</f>
        <v>0</v>
      </c>
      <c r="F46" s="453">
        <f>+'Prog 1'!F46+'Prog 2'!F46+'Prog 3'!F46</f>
        <v>0</v>
      </c>
      <c r="G46" s="453">
        <v>0</v>
      </c>
      <c r="H46" s="453">
        <v>0</v>
      </c>
      <c r="I46" s="453">
        <v>0</v>
      </c>
      <c r="J46" s="453">
        <v>0</v>
      </c>
      <c r="K46" s="453">
        <v>0</v>
      </c>
      <c r="L46" s="453">
        <f t="shared" si="33"/>
        <v>0</v>
      </c>
      <c r="M46" s="508">
        <f t="shared" si="34"/>
        <v>700000</v>
      </c>
      <c r="N46" s="620">
        <v>369960.57</v>
      </c>
      <c r="O46" s="425">
        <f>'Prog 1'!N46+'Prog 2'!N46+'Prog 3'!N46</f>
        <v>11058.179999999993</v>
      </c>
      <c r="P46" s="425">
        <f>'Prog 1'!O46+'Prog 2'!O46+'Prog 3'!O46</f>
        <v>10915.799999999988</v>
      </c>
      <c r="Q46" s="508">
        <f>'Prog 1'!P46+'Prog 2'!P46+'Prog 3'!P46</f>
        <v>10915.799999999988</v>
      </c>
      <c r="R46" s="526">
        <f t="shared" si="35"/>
        <v>402850.35</v>
      </c>
      <c r="S46" s="578">
        <f t="shared" si="4"/>
        <v>0.57550049999999997</v>
      </c>
      <c r="T46" s="576">
        <f t="shared" si="5"/>
        <v>297149.65000000002</v>
      </c>
    </row>
    <row r="47" spans="1:20" s="7" customFormat="1" ht="14.4" x14ac:dyDescent="0.2">
      <c r="A47" s="28" t="s">
        <v>64</v>
      </c>
      <c r="B47" s="420" t="s">
        <v>319</v>
      </c>
      <c r="C47" s="654" t="s">
        <v>320</v>
      </c>
      <c r="D47" s="452">
        <f t="shared" ref="D47:R47" si="36">SUM(D48:D51)</f>
        <v>214940000</v>
      </c>
      <c r="E47" s="452">
        <f t="shared" si="36"/>
        <v>0</v>
      </c>
      <c r="F47" s="452">
        <f t="shared" ref="F47" si="37">SUM(F48:F51)</f>
        <v>0</v>
      </c>
      <c r="G47" s="452">
        <f t="shared" si="36"/>
        <v>0</v>
      </c>
      <c r="H47" s="452">
        <f t="shared" si="36"/>
        <v>0</v>
      </c>
      <c r="I47" s="452">
        <f t="shared" si="36"/>
        <v>0</v>
      </c>
      <c r="J47" s="452">
        <f t="shared" si="36"/>
        <v>0</v>
      </c>
      <c r="K47" s="452">
        <f t="shared" si="36"/>
        <v>0</v>
      </c>
      <c r="L47" s="452">
        <f t="shared" si="36"/>
        <v>0</v>
      </c>
      <c r="M47" s="507">
        <f t="shared" si="36"/>
        <v>214940000</v>
      </c>
      <c r="N47" s="619">
        <v>46073652.539999999</v>
      </c>
      <c r="O47" s="422">
        <f t="shared" si="36"/>
        <v>14056521.93</v>
      </c>
      <c r="P47" s="422">
        <f t="shared" si="36"/>
        <v>14599291.440000001</v>
      </c>
      <c r="Q47" s="507">
        <f t="shared" si="36"/>
        <v>10799681.269999996</v>
      </c>
      <c r="R47" s="524">
        <f t="shared" si="36"/>
        <v>85529147.179999992</v>
      </c>
      <c r="S47" s="579">
        <f t="shared" si="4"/>
        <v>0.39792103461431094</v>
      </c>
      <c r="T47" s="575">
        <f t="shared" si="5"/>
        <v>129410852.82000001</v>
      </c>
    </row>
    <row r="48" spans="1:20" s="7" customFormat="1" ht="28.8" x14ac:dyDescent="0.2">
      <c r="A48" s="37" t="s">
        <v>64</v>
      </c>
      <c r="B48" s="423" t="s">
        <v>321</v>
      </c>
      <c r="C48" s="424" t="s">
        <v>69</v>
      </c>
      <c r="D48" s="453">
        <f>+'Prog 1'!D48+'Prog 2'!D48+'Prog 3'!D48</f>
        <v>21000000</v>
      </c>
      <c r="E48" s="453">
        <f>+'Prog 1'!E48+'Prog 2'!E48+'Prog 3'!E48</f>
        <v>0</v>
      </c>
      <c r="F48" s="453">
        <f>+'Prog 1'!F48+'Prog 2'!F48+'Prog 3'!F48</f>
        <v>0</v>
      </c>
      <c r="G48" s="453">
        <v>0</v>
      </c>
      <c r="H48" s="453">
        <v>0</v>
      </c>
      <c r="I48" s="453">
        <v>0</v>
      </c>
      <c r="J48" s="453">
        <v>0</v>
      </c>
      <c r="K48" s="453">
        <v>0</v>
      </c>
      <c r="L48" s="453">
        <f t="shared" ref="L48:L51" si="38">SUM(E48:K48)</f>
        <v>0</v>
      </c>
      <c r="M48" s="508">
        <f t="shared" ref="M48:M51" si="39">D48+L48</f>
        <v>21000000</v>
      </c>
      <c r="N48" s="620">
        <v>4159319.49</v>
      </c>
      <c r="O48" s="425">
        <f>'Prog 1'!N48+'Prog 2'!N48+'Prog 3'!N48</f>
        <v>1283243.3999999994</v>
      </c>
      <c r="P48" s="425">
        <f>'Prog 1'!O48+'Prog 2'!O48+'Prog 3'!O48</f>
        <v>1546194.6400000006</v>
      </c>
      <c r="Q48" s="508">
        <f>'Prog 1'!P48+'Prog 2'!P48+'Prog 3'!P48</f>
        <v>2041277.919999999</v>
      </c>
      <c r="R48" s="526">
        <f t="shared" ref="R48:R51" si="40">N48+O48+P48+Q48</f>
        <v>9030035.4499999993</v>
      </c>
      <c r="S48" s="578">
        <f t="shared" si="4"/>
        <v>0.43000168809523803</v>
      </c>
      <c r="T48" s="576">
        <f t="shared" si="5"/>
        <v>11969964.550000001</v>
      </c>
    </row>
    <row r="49" spans="1:20" s="7" customFormat="1" ht="28.8" x14ac:dyDescent="0.2">
      <c r="A49" s="37" t="s">
        <v>64</v>
      </c>
      <c r="B49" s="423" t="s">
        <v>322</v>
      </c>
      <c r="C49" s="424" t="s">
        <v>70</v>
      </c>
      <c r="D49" s="453">
        <f>+'Prog 1'!D49+'Prog 2'!D49+'Prog 3'!D49</f>
        <v>90000000</v>
      </c>
      <c r="E49" s="453">
        <f>+'Prog 1'!E49+'Prog 2'!E49+'Prog 3'!E49</f>
        <v>0</v>
      </c>
      <c r="F49" s="453">
        <f>+'Prog 1'!F49+'Prog 2'!F49+'Prog 3'!F49</f>
        <v>0</v>
      </c>
      <c r="G49" s="453">
        <v>0</v>
      </c>
      <c r="H49" s="453">
        <v>0</v>
      </c>
      <c r="I49" s="453">
        <v>0</v>
      </c>
      <c r="J49" s="453">
        <v>0</v>
      </c>
      <c r="K49" s="453">
        <v>0</v>
      </c>
      <c r="L49" s="453">
        <f t="shared" si="38"/>
        <v>0</v>
      </c>
      <c r="M49" s="508">
        <f t="shared" si="39"/>
        <v>90000000</v>
      </c>
      <c r="N49" s="620">
        <v>19113838.510000002</v>
      </c>
      <c r="O49" s="425">
        <f>'Prog 1'!N49+'Prog 2'!N49+'Prog 3'!N49</f>
        <v>6376643.3999999985</v>
      </c>
      <c r="P49" s="425">
        <f>'Prog 1'!O49+'Prog 2'!O49+'Prog 3'!O49</f>
        <v>6752914.7800000012</v>
      </c>
      <c r="Q49" s="508">
        <f>'Prog 1'!P49+'Prog 2'!P49+'Prog 3'!P49</f>
        <v>2387684.879999999</v>
      </c>
      <c r="R49" s="526">
        <f t="shared" si="40"/>
        <v>34631081.57</v>
      </c>
      <c r="S49" s="578">
        <f t="shared" si="4"/>
        <v>0.38478979522222223</v>
      </c>
      <c r="T49" s="576">
        <f t="shared" si="5"/>
        <v>55368918.43</v>
      </c>
    </row>
    <row r="50" spans="1:20" s="7" customFormat="1" ht="28.8" x14ac:dyDescent="0.2">
      <c r="A50" s="37" t="s">
        <v>64</v>
      </c>
      <c r="B50" s="423" t="s">
        <v>323</v>
      </c>
      <c r="C50" s="424" t="s">
        <v>71</v>
      </c>
      <c r="D50" s="453">
        <f>+'Prog 1'!D50+'Prog 2'!D50+'Prog 3'!D50</f>
        <v>100240000</v>
      </c>
      <c r="E50" s="453">
        <f>+'Prog 1'!E50+'Prog 2'!E50+'Prog 3'!E50</f>
        <v>0</v>
      </c>
      <c r="F50" s="453">
        <f>+'Prog 1'!F50+'Prog 2'!F50+'Prog 3'!F50</f>
        <v>0</v>
      </c>
      <c r="G50" s="453">
        <v>0</v>
      </c>
      <c r="H50" s="453">
        <v>0</v>
      </c>
      <c r="I50" s="453">
        <v>0</v>
      </c>
      <c r="J50" s="453">
        <v>0</v>
      </c>
      <c r="K50" s="453">
        <v>0</v>
      </c>
      <c r="L50" s="453">
        <f t="shared" si="38"/>
        <v>0</v>
      </c>
      <c r="M50" s="508">
        <f t="shared" si="39"/>
        <v>100240000</v>
      </c>
      <c r="N50" s="620">
        <v>19428627.039999999</v>
      </c>
      <c r="O50" s="425">
        <f>'Prog 1'!N50+'Prog 2'!N50+'Prog 3'!N50</f>
        <v>6396635.1300000027</v>
      </c>
      <c r="P50" s="425">
        <f>'Prog 1'!O50+'Prog 2'!O50+'Prog 3'!O50</f>
        <v>6300182.0199999996</v>
      </c>
      <c r="Q50" s="508">
        <f>'Prog 1'!P50+'Prog 2'!P50+'Prog 3'!P50</f>
        <v>6370718.4699999969</v>
      </c>
      <c r="R50" s="526">
        <f t="shared" si="40"/>
        <v>38496162.659999996</v>
      </c>
      <c r="S50" s="578">
        <f t="shared" si="4"/>
        <v>0.38403993076616116</v>
      </c>
      <c r="T50" s="576">
        <f t="shared" si="5"/>
        <v>61743837.340000004</v>
      </c>
    </row>
    <row r="51" spans="1:20" s="7" customFormat="1" ht="14.4" x14ac:dyDescent="0.2">
      <c r="A51" s="37" t="s">
        <v>64</v>
      </c>
      <c r="B51" s="423" t="s">
        <v>324</v>
      </c>
      <c r="C51" s="424" t="s">
        <v>72</v>
      </c>
      <c r="D51" s="453">
        <f>+'Prog 1'!D51+'Prog 2'!D51+'Prog 3'!D51</f>
        <v>3700000</v>
      </c>
      <c r="E51" s="453">
        <f>+'Prog 1'!E51+'Prog 2'!E51+'Prog 3'!E51</f>
        <v>0</v>
      </c>
      <c r="F51" s="453">
        <f>+'Prog 1'!F51+'Prog 2'!F51+'Prog 3'!F51</f>
        <v>0</v>
      </c>
      <c r="G51" s="453">
        <v>0</v>
      </c>
      <c r="H51" s="453">
        <v>0</v>
      </c>
      <c r="I51" s="453">
        <v>0</v>
      </c>
      <c r="J51" s="453">
        <v>0</v>
      </c>
      <c r="K51" s="453">
        <v>0</v>
      </c>
      <c r="L51" s="453">
        <f t="shared" si="38"/>
        <v>0</v>
      </c>
      <c r="M51" s="508">
        <f t="shared" si="39"/>
        <v>3700000</v>
      </c>
      <c r="N51" s="620">
        <v>3371867.5</v>
      </c>
      <c r="O51" s="425">
        <f>'Prog 1'!N51+'Prog 2'!N51+'Prog 3'!N51</f>
        <v>0</v>
      </c>
      <c r="P51" s="425">
        <f>'Prog 1'!O51+'Prog 2'!O51+'Prog 3'!O51</f>
        <v>0</v>
      </c>
      <c r="Q51" s="508">
        <f>'Prog 1'!P51+'Prog 2'!P51+'Prog 3'!P51</f>
        <v>0</v>
      </c>
      <c r="R51" s="526">
        <f t="shared" si="40"/>
        <v>3371867.5</v>
      </c>
      <c r="S51" s="578">
        <f t="shared" si="4"/>
        <v>0.91131554054054054</v>
      </c>
      <c r="T51" s="576">
        <f t="shared" si="5"/>
        <v>328132.5</v>
      </c>
    </row>
    <row r="52" spans="1:20" s="8" customFormat="1" ht="28.8" x14ac:dyDescent="0.2">
      <c r="A52" s="28" t="s">
        <v>64</v>
      </c>
      <c r="B52" s="420" t="s">
        <v>325</v>
      </c>
      <c r="C52" s="654" t="s">
        <v>526</v>
      </c>
      <c r="D52" s="452">
        <f t="shared" ref="D52:R52" si="41">SUM(D53:D57)</f>
        <v>617695000</v>
      </c>
      <c r="E52" s="452">
        <f t="shared" si="41"/>
        <v>0</v>
      </c>
      <c r="F52" s="452">
        <f t="shared" ref="F52" si="42">SUM(F53:F57)</f>
        <v>1016000</v>
      </c>
      <c r="G52" s="452">
        <f t="shared" si="41"/>
        <v>0</v>
      </c>
      <c r="H52" s="452">
        <f t="shared" si="41"/>
        <v>0</v>
      </c>
      <c r="I52" s="452">
        <f t="shared" si="41"/>
        <v>0</v>
      </c>
      <c r="J52" s="452">
        <f t="shared" si="41"/>
        <v>0</v>
      </c>
      <c r="K52" s="452">
        <f t="shared" si="41"/>
        <v>0</v>
      </c>
      <c r="L52" s="452">
        <f t="shared" si="41"/>
        <v>1016000</v>
      </c>
      <c r="M52" s="507">
        <f t="shared" si="41"/>
        <v>618711000</v>
      </c>
      <c r="N52" s="619">
        <v>67410412.390000001</v>
      </c>
      <c r="O52" s="422">
        <f t="shared" si="41"/>
        <v>25366729.780000005</v>
      </c>
      <c r="P52" s="422">
        <f t="shared" si="41"/>
        <v>19963924.419999987</v>
      </c>
      <c r="Q52" s="507">
        <f t="shared" si="41"/>
        <v>144630387.88000005</v>
      </c>
      <c r="R52" s="524">
        <f t="shared" si="41"/>
        <v>257371454.47000003</v>
      </c>
      <c r="S52" s="579">
        <f t="shared" si="4"/>
        <v>0.41598008516092333</v>
      </c>
      <c r="T52" s="575">
        <f t="shared" si="5"/>
        <v>361339545.52999997</v>
      </c>
    </row>
    <row r="53" spans="1:20" s="7" customFormat="1" ht="14.4" x14ac:dyDescent="0.2">
      <c r="A53" s="37" t="s">
        <v>64</v>
      </c>
      <c r="B53" s="423" t="s">
        <v>327</v>
      </c>
      <c r="C53" s="424" t="s">
        <v>73</v>
      </c>
      <c r="D53" s="453">
        <f>+'Prog 1'!D53+'Prog 2'!D53+'Prog 3'!D53</f>
        <v>566045000</v>
      </c>
      <c r="E53" s="453">
        <f>+'Prog 1'!E53+'Prog 2'!E53+'Prog 3'!E53</f>
        <v>0</v>
      </c>
      <c r="F53" s="453">
        <f>+'Prog 1'!F53+'Prog 2'!F53+'Prog 3'!F53</f>
        <v>200000</v>
      </c>
      <c r="G53" s="453">
        <v>0</v>
      </c>
      <c r="H53" s="453">
        <v>0</v>
      </c>
      <c r="I53" s="453">
        <v>0</v>
      </c>
      <c r="J53" s="453">
        <v>0</v>
      </c>
      <c r="K53" s="453">
        <v>0</v>
      </c>
      <c r="L53" s="453">
        <f t="shared" ref="L53:L57" si="43">SUM(E53:K53)</f>
        <v>200000</v>
      </c>
      <c r="M53" s="508">
        <f t="shared" ref="M53:M57" si="44">D53+L53</f>
        <v>566245000</v>
      </c>
      <c r="N53" s="620">
        <v>61314760.129999995</v>
      </c>
      <c r="O53" s="425">
        <f>'Prog 1'!N53+'Prog 2'!N53+'Prog 3'!N53</f>
        <v>14166666.660000004</v>
      </c>
      <c r="P53" s="425">
        <f>'Prog 1'!O53+'Prog 2'!O53+'Prog 3'!O53</f>
        <v>18582458.059999987</v>
      </c>
      <c r="Q53" s="508">
        <f>'Prog 1'!P53+'Prog 2'!P53+'Prog 3'!P53</f>
        <v>142957774.51000005</v>
      </c>
      <c r="R53" s="526">
        <f t="shared" ref="R53:R57" si="45">N53+O53+P53+Q53</f>
        <v>237021659.36000001</v>
      </c>
      <c r="S53" s="578">
        <f t="shared" si="4"/>
        <v>0.41858499299773066</v>
      </c>
      <c r="T53" s="576">
        <f t="shared" si="5"/>
        <v>329223340.63999999</v>
      </c>
    </row>
    <row r="54" spans="1:20" s="7" customFormat="1" ht="28.8" x14ac:dyDescent="0.2">
      <c r="A54" s="37" t="s">
        <v>64</v>
      </c>
      <c r="B54" s="423" t="s">
        <v>328</v>
      </c>
      <c r="C54" s="424" t="s">
        <v>74</v>
      </c>
      <c r="D54" s="453">
        <f>+'Prog 1'!D54+'Prog 2'!D54+'Prog 3'!D54</f>
        <v>15500000</v>
      </c>
      <c r="E54" s="453">
        <f>+'Prog 1'!E54+'Prog 2'!E54+'Prog 3'!E54</f>
        <v>0</v>
      </c>
      <c r="F54" s="453">
        <f>+'Prog 1'!F54+'Prog 2'!F54+'Prog 3'!F54</f>
        <v>200000</v>
      </c>
      <c r="G54" s="453">
        <v>0</v>
      </c>
      <c r="H54" s="453">
        <v>0</v>
      </c>
      <c r="I54" s="453">
        <v>0</v>
      </c>
      <c r="J54" s="453">
        <v>0</v>
      </c>
      <c r="K54" s="453">
        <v>0</v>
      </c>
      <c r="L54" s="453">
        <f t="shared" si="43"/>
        <v>200000</v>
      </c>
      <c r="M54" s="508">
        <f t="shared" si="44"/>
        <v>15700000</v>
      </c>
      <c r="N54" s="620">
        <v>773146</v>
      </c>
      <c r="O54" s="425">
        <f>'Prog 1'!N54+'Prog 2'!N54+'Prog 3'!N54</f>
        <v>106785</v>
      </c>
      <c r="P54" s="425">
        <f>'Prog 1'!O54+'Prog 2'!O54+'Prog 3'!O54</f>
        <v>24860</v>
      </c>
      <c r="Q54" s="508">
        <f>'Prog 1'!P54+'Prog 2'!P54+'Prog 3'!P54</f>
        <v>125995</v>
      </c>
      <c r="R54" s="526">
        <f t="shared" si="45"/>
        <v>1030786</v>
      </c>
      <c r="S54" s="578">
        <f t="shared" si="4"/>
        <v>6.5655159235668795E-2</v>
      </c>
      <c r="T54" s="576">
        <f t="shared" si="5"/>
        <v>14669214</v>
      </c>
    </row>
    <row r="55" spans="1:20" s="7" customFormat="1" ht="14.4" x14ac:dyDescent="0.2">
      <c r="A55" s="37" t="s">
        <v>64</v>
      </c>
      <c r="B55" s="423" t="s">
        <v>329</v>
      </c>
      <c r="C55" s="424" t="s">
        <v>75</v>
      </c>
      <c r="D55" s="453">
        <f>+'Prog 1'!D55+'Prog 2'!D55+'Prog 3'!D55</f>
        <v>5500000</v>
      </c>
      <c r="E55" s="453">
        <f>+'Prog 1'!E55+'Prog 2'!E55+'Prog 3'!E55</f>
        <v>0</v>
      </c>
      <c r="F55" s="453">
        <f>+'Prog 1'!F55+'Prog 2'!F55+'Prog 3'!F55</f>
        <v>226000</v>
      </c>
      <c r="G55" s="453">
        <v>0</v>
      </c>
      <c r="H55" s="453">
        <v>0</v>
      </c>
      <c r="I55" s="453">
        <v>0</v>
      </c>
      <c r="J55" s="453">
        <v>0</v>
      </c>
      <c r="K55" s="453">
        <v>0</v>
      </c>
      <c r="L55" s="453">
        <f t="shared" si="43"/>
        <v>226000</v>
      </c>
      <c r="M55" s="508">
        <f t="shared" si="44"/>
        <v>5726000</v>
      </c>
      <c r="N55" s="620">
        <v>237752</v>
      </c>
      <c r="O55" s="425">
        <f>'Prog 1'!N55+'Prog 2'!N55+'Prog 3'!N55</f>
        <v>341881.5</v>
      </c>
      <c r="P55" s="425">
        <f>'Prog 1'!O55+'Prog 2'!O55+'Prog 3'!O55</f>
        <v>196846</v>
      </c>
      <c r="Q55" s="508">
        <f>'Prog 1'!P55+'Prog 2'!P55+'Prog 3'!P55</f>
        <v>227695</v>
      </c>
      <c r="R55" s="526">
        <f t="shared" si="45"/>
        <v>1004174.5</v>
      </c>
      <c r="S55" s="578">
        <f t="shared" si="4"/>
        <v>0.17537102689486553</v>
      </c>
      <c r="T55" s="576">
        <f t="shared" si="5"/>
        <v>4721825.5</v>
      </c>
    </row>
    <row r="56" spans="1:20" s="7" customFormat="1" ht="28.8" x14ac:dyDescent="0.2">
      <c r="A56" s="37" t="s">
        <v>64</v>
      </c>
      <c r="B56" s="423" t="s">
        <v>330</v>
      </c>
      <c r="C56" s="424" t="s">
        <v>527</v>
      </c>
      <c r="D56" s="453">
        <f>+'Prog 1'!D56+'Prog 2'!D56+'Prog 3'!D56</f>
        <v>3500000</v>
      </c>
      <c r="E56" s="453">
        <f>+'Prog 1'!E56+'Prog 2'!E56+'Prog 3'!E56</f>
        <v>0</v>
      </c>
      <c r="F56" s="453">
        <f>+'Prog 1'!F56+'Prog 2'!F56+'Prog 3'!F56</f>
        <v>390000</v>
      </c>
      <c r="G56" s="453">
        <v>0</v>
      </c>
      <c r="H56" s="453">
        <v>0</v>
      </c>
      <c r="I56" s="453">
        <v>0</v>
      </c>
      <c r="J56" s="453">
        <v>0</v>
      </c>
      <c r="K56" s="453">
        <v>0</v>
      </c>
      <c r="L56" s="453">
        <f t="shared" si="43"/>
        <v>390000</v>
      </c>
      <c r="M56" s="508">
        <f t="shared" si="44"/>
        <v>3890000</v>
      </c>
      <c r="N56" s="620">
        <v>641624</v>
      </c>
      <c r="O56" s="425">
        <f>'Prog 1'!N56+'Prog 2'!N56+'Prog 3'!N56</f>
        <v>197436</v>
      </c>
      <c r="P56" s="425">
        <f>'Prog 1'!O56+'Prog 2'!O56+'Prog 3'!O56</f>
        <v>202828</v>
      </c>
      <c r="Q56" s="508">
        <f>'Prog 1'!P56+'Prog 2'!P56+'Prog 3'!P56</f>
        <v>193776</v>
      </c>
      <c r="R56" s="526">
        <f t="shared" si="45"/>
        <v>1235664</v>
      </c>
      <c r="S56" s="578">
        <f t="shared" si="4"/>
        <v>0.31765141388174806</v>
      </c>
      <c r="T56" s="576">
        <f t="shared" si="5"/>
        <v>2654336</v>
      </c>
    </row>
    <row r="57" spans="1:20" s="7" customFormat="1" ht="28.8" x14ac:dyDescent="0.2">
      <c r="A57" s="37" t="s">
        <v>64</v>
      </c>
      <c r="B57" s="423" t="s">
        <v>331</v>
      </c>
      <c r="C57" s="424" t="s">
        <v>528</v>
      </c>
      <c r="D57" s="453">
        <f>+'Prog 1'!D57+'Prog 2'!D57+'Prog 3'!D57</f>
        <v>27150000</v>
      </c>
      <c r="E57" s="453">
        <f>+'Prog 1'!E57+'Prog 2'!E57+'Prog 3'!E57</f>
        <v>0</v>
      </c>
      <c r="F57" s="453">
        <f>+'Prog 1'!F57+'Prog 2'!F57+'Prog 3'!F57</f>
        <v>0</v>
      </c>
      <c r="G57" s="453">
        <v>0</v>
      </c>
      <c r="H57" s="453">
        <v>0</v>
      </c>
      <c r="I57" s="453">
        <v>0</v>
      </c>
      <c r="J57" s="453">
        <v>0</v>
      </c>
      <c r="K57" s="453">
        <v>0</v>
      </c>
      <c r="L57" s="453">
        <f t="shared" si="43"/>
        <v>0</v>
      </c>
      <c r="M57" s="508">
        <f t="shared" si="44"/>
        <v>27150000</v>
      </c>
      <c r="N57" s="620">
        <v>4443130.26</v>
      </c>
      <c r="O57" s="425">
        <f>'Prog 1'!N57+'Prog 2'!N57+'Prog 3'!N57</f>
        <v>10553960.620000001</v>
      </c>
      <c r="P57" s="425">
        <f>'Prog 1'!O57+'Prog 2'!O57+'Prog 3'!O57</f>
        <v>956932.3599999994</v>
      </c>
      <c r="Q57" s="508">
        <f>'Prog 1'!P57+'Prog 2'!P57+'Prog 3'!P57</f>
        <v>1125147.3699999992</v>
      </c>
      <c r="R57" s="526">
        <f t="shared" si="45"/>
        <v>17079170.609999999</v>
      </c>
      <c r="S57" s="578">
        <f t="shared" si="4"/>
        <v>0.62906705745856351</v>
      </c>
      <c r="T57" s="576">
        <f t="shared" si="5"/>
        <v>10070829.390000001</v>
      </c>
    </row>
    <row r="58" spans="1:20" s="8" customFormat="1" ht="28.8" x14ac:dyDescent="0.2">
      <c r="A58" s="28" t="s">
        <v>64</v>
      </c>
      <c r="B58" s="420" t="s">
        <v>332</v>
      </c>
      <c r="C58" s="654" t="s">
        <v>333</v>
      </c>
      <c r="D58" s="452">
        <f t="shared" ref="D58:R58" si="46">SUM(D59:D65)</f>
        <v>1980913449.9000001</v>
      </c>
      <c r="E58" s="452">
        <f t="shared" si="46"/>
        <v>52965770</v>
      </c>
      <c r="F58" s="452">
        <f t="shared" ref="F58" si="47">SUM(F59:F65)</f>
        <v>30633340</v>
      </c>
      <c r="G58" s="452">
        <f t="shared" si="46"/>
        <v>0</v>
      </c>
      <c r="H58" s="452">
        <f t="shared" si="46"/>
        <v>0</v>
      </c>
      <c r="I58" s="452">
        <f t="shared" si="46"/>
        <v>0</v>
      </c>
      <c r="J58" s="452">
        <f t="shared" si="46"/>
        <v>0</v>
      </c>
      <c r="K58" s="452">
        <f t="shared" si="46"/>
        <v>0</v>
      </c>
      <c r="L58" s="452">
        <f t="shared" si="46"/>
        <v>83599110</v>
      </c>
      <c r="M58" s="507">
        <f t="shared" si="46"/>
        <v>2064512559.9000001</v>
      </c>
      <c r="N58" s="619">
        <v>252193224.98000002</v>
      </c>
      <c r="O58" s="422">
        <f t="shared" si="46"/>
        <v>100273012.95</v>
      </c>
      <c r="P58" s="422">
        <f t="shared" si="46"/>
        <v>144162864.22</v>
      </c>
      <c r="Q58" s="507">
        <f t="shared" si="46"/>
        <v>77956539.539999962</v>
      </c>
      <c r="R58" s="524">
        <f t="shared" si="46"/>
        <v>574585641.68999994</v>
      </c>
      <c r="S58" s="579">
        <f t="shared" si="4"/>
        <v>0.27831540134482469</v>
      </c>
      <c r="T58" s="575">
        <f t="shared" si="5"/>
        <v>1489926918.21</v>
      </c>
    </row>
    <row r="59" spans="1:20" s="7" customFormat="1" ht="28.8" x14ac:dyDescent="0.2">
      <c r="A59" s="37" t="s">
        <v>64</v>
      </c>
      <c r="B59" s="423" t="s">
        <v>334</v>
      </c>
      <c r="C59" s="424" t="s">
        <v>335</v>
      </c>
      <c r="D59" s="453">
        <f>+'Prog 1'!D59+'Prog 2'!D59+'Prog 3'!D59</f>
        <v>24964000</v>
      </c>
      <c r="E59" s="453">
        <f>+'Prog 1'!E59+'Prog 2'!E59+'Prog 3'!E59</f>
        <v>0</v>
      </c>
      <c r="F59" s="453">
        <f>+'Prog 1'!F59+'Prog 2'!F59+'Prog 3'!F59</f>
        <v>0</v>
      </c>
      <c r="G59" s="453">
        <v>0</v>
      </c>
      <c r="H59" s="453">
        <v>0</v>
      </c>
      <c r="I59" s="453">
        <v>0</v>
      </c>
      <c r="J59" s="453">
        <v>0</v>
      </c>
      <c r="K59" s="453">
        <v>0</v>
      </c>
      <c r="L59" s="453">
        <f t="shared" ref="L59:L65" si="48">SUM(E59:K59)</f>
        <v>0</v>
      </c>
      <c r="M59" s="508">
        <f t="shared" ref="M59:M65" si="49">D59+L59</f>
        <v>24964000</v>
      </c>
      <c r="N59" s="620">
        <v>5736000</v>
      </c>
      <c r="O59" s="425">
        <f>'Prog 1'!N59+'Prog 2'!N59+'Prog 3'!N59</f>
        <v>1959400</v>
      </c>
      <c r="P59" s="425">
        <f>'Prog 1'!O59+'Prog 2'!O59+'Prog 3'!O59</f>
        <v>1934400</v>
      </c>
      <c r="Q59" s="508">
        <f>'Prog 1'!P59+'Prog 2'!P59+'Prog 3'!P59</f>
        <v>1985400</v>
      </c>
      <c r="R59" s="526">
        <f t="shared" ref="R59:R65" si="50">N59+O59+P59+Q59</f>
        <v>11615200</v>
      </c>
      <c r="S59" s="578">
        <f t="shared" si="4"/>
        <v>0.46527800032046146</v>
      </c>
      <c r="T59" s="576">
        <f t="shared" si="5"/>
        <v>13348800</v>
      </c>
    </row>
    <row r="60" spans="1:20" s="7" customFormat="1" ht="14.4" x14ac:dyDescent="0.2">
      <c r="A60" s="37" t="s">
        <v>64</v>
      </c>
      <c r="B60" s="423" t="s">
        <v>336</v>
      </c>
      <c r="C60" s="424" t="s">
        <v>76</v>
      </c>
      <c r="D60" s="453">
        <f>+'Prog 1'!D60+'Prog 2'!D60+'Prog 3'!D60</f>
        <v>80000000</v>
      </c>
      <c r="E60" s="453">
        <f>+'Prog 1'!E60+'Prog 2'!E60+'Prog 3'!E60</f>
        <v>0</v>
      </c>
      <c r="F60" s="453">
        <f>+'Prog 1'!F60+'Prog 2'!F60+'Prog 3'!F60</f>
        <v>10000000</v>
      </c>
      <c r="G60" s="453">
        <v>0</v>
      </c>
      <c r="H60" s="453">
        <v>0</v>
      </c>
      <c r="I60" s="453">
        <v>0</v>
      </c>
      <c r="J60" s="453">
        <v>0</v>
      </c>
      <c r="K60" s="453">
        <v>0</v>
      </c>
      <c r="L60" s="453">
        <f t="shared" si="48"/>
        <v>10000000</v>
      </c>
      <c r="M60" s="508">
        <f t="shared" si="49"/>
        <v>90000000</v>
      </c>
      <c r="N60" s="620">
        <v>12542999.609999999</v>
      </c>
      <c r="O60" s="425">
        <f>'Prog 1'!N60+'Prog 2'!N60+'Prog 3'!N60</f>
        <v>2147000</v>
      </c>
      <c r="P60" s="425">
        <f>'Prog 1'!O60+'Prog 2'!O60+'Prog 3'!O60</f>
        <v>3352332.5800000019</v>
      </c>
      <c r="Q60" s="508">
        <f>'Prog 1'!P60+'Prog 2'!P60+'Prog 3'!P60</f>
        <v>2938000</v>
      </c>
      <c r="R60" s="526">
        <f t="shared" si="50"/>
        <v>20980332.190000001</v>
      </c>
      <c r="S60" s="578">
        <f t="shared" si="4"/>
        <v>0.23311480211111113</v>
      </c>
      <c r="T60" s="576">
        <f t="shared" si="5"/>
        <v>69019667.810000002</v>
      </c>
    </row>
    <row r="61" spans="1:20" s="7" customFormat="1" ht="28.8" x14ac:dyDescent="0.2">
      <c r="A61" s="37" t="s">
        <v>64</v>
      </c>
      <c r="B61" s="423" t="s">
        <v>337</v>
      </c>
      <c r="C61" s="424" t="s">
        <v>77</v>
      </c>
      <c r="D61" s="453">
        <f>+'Prog 1'!D61+'Prog 2'!D61+'Prog 3'!D61</f>
        <v>564829874.89999998</v>
      </c>
      <c r="E61" s="453">
        <f>+'Prog 1'!E61+'Prog 2'!E61+'Prog 3'!E61</f>
        <v>0</v>
      </c>
      <c r="F61" s="453">
        <f>+'Prog 1'!F61+'Prog 2'!F61+'Prog 3'!F61</f>
        <v>0</v>
      </c>
      <c r="G61" s="453">
        <v>0</v>
      </c>
      <c r="H61" s="453">
        <v>0</v>
      </c>
      <c r="I61" s="453">
        <v>0</v>
      </c>
      <c r="J61" s="453">
        <v>0</v>
      </c>
      <c r="K61" s="453">
        <v>0</v>
      </c>
      <c r="L61" s="453">
        <f t="shared" si="48"/>
        <v>0</v>
      </c>
      <c r="M61" s="508">
        <f t="shared" si="49"/>
        <v>564829874.89999998</v>
      </c>
      <c r="N61" s="620">
        <v>0</v>
      </c>
      <c r="O61" s="425">
        <f>'Prog 1'!N61+'Prog 2'!N61+'Prog 3'!N61</f>
        <v>0</v>
      </c>
      <c r="P61" s="425">
        <f>'Prog 1'!O61+'Prog 2'!O61+'Prog 3'!O61</f>
        <v>0</v>
      </c>
      <c r="Q61" s="508">
        <f>'Prog 1'!P61+'Prog 2'!P61+'Prog 3'!P61</f>
        <v>0</v>
      </c>
      <c r="R61" s="526">
        <f t="shared" si="50"/>
        <v>0</v>
      </c>
      <c r="S61" s="578">
        <f t="shared" si="4"/>
        <v>0</v>
      </c>
      <c r="T61" s="576">
        <f t="shared" si="5"/>
        <v>564829874.89999998</v>
      </c>
    </row>
    <row r="62" spans="1:20" s="7" customFormat="1" ht="28.8" x14ac:dyDescent="0.2">
      <c r="A62" s="37" t="s">
        <v>64</v>
      </c>
      <c r="B62" s="423" t="s">
        <v>338</v>
      </c>
      <c r="C62" s="424" t="s">
        <v>529</v>
      </c>
      <c r="D62" s="453">
        <f>+'Prog 1'!D62+'Prog 2'!D62+'Prog 3'!D62</f>
        <v>396657734</v>
      </c>
      <c r="E62" s="453">
        <f>+'Prog 1'!E62+'Prog 2'!E62+'Prog 3'!E62</f>
        <v>52965770</v>
      </c>
      <c r="F62" s="453">
        <f>+'Prog 1'!F62+'Prog 2'!F62+'Prog 3'!F62</f>
        <v>35157340</v>
      </c>
      <c r="G62" s="453">
        <v>0</v>
      </c>
      <c r="H62" s="453">
        <v>0</v>
      </c>
      <c r="I62" s="453">
        <v>0</v>
      </c>
      <c r="J62" s="453">
        <v>0</v>
      </c>
      <c r="K62" s="453">
        <v>0</v>
      </c>
      <c r="L62" s="453">
        <f t="shared" si="48"/>
        <v>88123110</v>
      </c>
      <c r="M62" s="508">
        <f t="shared" si="49"/>
        <v>484780844</v>
      </c>
      <c r="N62" s="620">
        <v>99449968.189999998</v>
      </c>
      <c r="O62" s="425">
        <f>'Prog 1'!N62+'Prog 2'!N62+'Prog 3'!N62</f>
        <v>26071593.670000002</v>
      </c>
      <c r="P62" s="425">
        <f>'Prog 1'!O62+'Prog 2'!O62+'Prog 3'!O62</f>
        <v>72337306.450000003</v>
      </c>
      <c r="Q62" s="508">
        <f>'Prog 1'!P62+'Prog 2'!P62+'Prog 3'!P62</f>
        <v>14166591.669999987</v>
      </c>
      <c r="R62" s="526">
        <f t="shared" si="50"/>
        <v>212025459.97999999</v>
      </c>
      <c r="S62" s="578">
        <f t="shared" si="4"/>
        <v>0.43736352746644419</v>
      </c>
      <c r="T62" s="576">
        <f t="shared" si="5"/>
        <v>272755384.01999998</v>
      </c>
    </row>
    <row r="63" spans="1:20" s="7" customFormat="1" ht="28.8" x14ac:dyDescent="0.2">
      <c r="A63" s="37" t="s">
        <v>64</v>
      </c>
      <c r="B63" s="423" t="s">
        <v>340</v>
      </c>
      <c r="C63" s="424" t="s">
        <v>530</v>
      </c>
      <c r="D63" s="453">
        <f>+'Prog 1'!D63+'Prog 2'!D63+'Prog 3'!D63</f>
        <v>17000000</v>
      </c>
      <c r="E63" s="453">
        <f>+'Prog 1'!E63+'Prog 2'!E63+'Prog 3'!E63</f>
        <v>0</v>
      </c>
      <c r="F63" s="453">
        <f>+'Prog 1'!F63+'Prog 2'!F63+'Prog 3'!F63</f>
        <v>0</v>
      </c>
      <c r="G63" s="453">
        <v>0</v>
      </c>
      <c r="H63" s="453">
        <v>0</v>
      </c>
      <c r="I63" s="453">
        <v>0</v>
      </c>
      <c r="J63" s="453">
        <v>0</v>
      </c>
      <c r="K63" s="453">
        <v>0</v>
      </c>
      <c r="L63" s="453">
        <f t="shared" si="48"/>
        <v>0</v>
      </c>
      <c r="M63" s="508">
        <f t="shared" si="49"/>
        <v>17000000</v>
      </c>
      <c r="N63" s="620">
        <v>0</v>
      </c>
      <c r="O63" s="425">
        <f>'Prog 1'!N63+'Prog 2'!N63+'Prog 3'!N63</f>
        <v>0</v>
      </c>
      <c r="P63" s="425">
        <f>'Prog 1'!O63+'Prog 2'!O63+'Prog 3'!O63</f>
        <v>16455365.1</v>
      </c>
      <c r="Q63" s="508">
        <f>'Prog 1'!P63+'Prog 2'!P63+'Prog 3'!P63</f>
        <v>0</v>
      </c>
      <c r="R63" s="526">
        <f t="shared" si="50"/>
        <v>16455365.1</v>
      </c>
      <c r="S63" s="578">
        <f t="shared" si="4"/>
        <v>0.96796265294117645</v>
      </c>
      <c r="T63" s="576">
        <f t="shared" si="5"/>
        <v>544634.90000000037</v>
      </c>
    </row>
    <row r="64" spans="1:20" s="7" customFormat="1" ht="14.4" x14ac:dyDescent="0.2">
      <c r="A64" s="118" t="s">
        <v>64</v>
      </c>
      <c r="B64" s="423" t="s">
        <v>342</v>
      </c>
      <c r="C64" s="424" t="s">
        <v>78</v>
      </c>
      <c r="D64" s="453">
        <f>+'Prog 1'!D64+'Prog 2'!D64+'Prog 3'!D64</f>
        <v>799861841</v>
      </c>
      <c r="E64" s="453">
        <f>+'Prog 1'!E64+'Prog 2'!E64+'Prog 3'!E64</f>
        <v>0</v>
      </c>
      <c r="F64" s="453">
        <f>+'Prog 1'!F64+'Prog 2'!F64+'Prog 3'!F64</f>
        <v>-21635000</v>
      </c>
      <c r="G64" s="453">
        <v>0</v>
      </c>
      <c r="H64" s="453">
        <v>0</v>
      </c>
      <c r="I64" s="453">
        <v>0</v>
      </c>
      <c r="J64" s="453">
        <v>0</v>
      </c>
      <c r="K64" s="453">
        <v>0</v>
      </c>
      <c r="L64" s="453">
        <f t="shared" si="48"/>
        <v>-21635000</v>
      </c>
      <c r="M64" s="508">
        <f t="shared" si="49"/>
        <v>778226841</v>
      </c>
      <c r="N64" s="620">
        <v>134464257.18000001</v>
      </c>
      <c r="O64" s="425">
        <f>'Prog 1'!N64+'Prog 2'!N64+'Prog 3'!N64</f>
        <v>70053442.159999996</v>
      </c>
      <c r="P64" s="425">
        <f>'Prog 1'!O64+'Prog 2'!O64+'Prog 3'!O64</f>
        <v>50041551.060000017</v>
      </c>
      <c r="Q64" s="508">
        <f>'Prog 1'!P64+'Prog 2'!P64+'Prog 3'!P64</f>
        <v>58788224.959999979</v>
      </c>
      <c r="R64" s="526">
        <f t="shared" si="50"/>
        <v>313347475.36000001</v>
      </c>
      <c r="S64" s="578">
        <f t="shared" si="4"/>
        <v>0.40264285276688372</v>
      </c>
      <c r="T64" s="576">
        <f t="shared" si="5"/>
        <v>464879365.63999999</v>
      </c>
    </row>
    <row r="65" spans="1:20" s="7" customFormat="1" ht="28.8" x14ac:dyDescent="0.2">
      <c r="A65" s="37" t="s">
        <v>64</v>
      </c>
      <c r="B65" s="423" t="s">
        <v>343</v>
      </c>
      <c r="C65" s="424" t="s">
        <v>79</v>
      </c>
      <c r="D65" s="453">
        <f>+'Prog 1'!D65+'Prog 2'!D65+'Prog 3'!D65</f>
        <v>97600000</v>
      </c>
      <c r="E65" s="453">
        <f>+'Prog 1'!E65+'Prog 2'!E65+'Prog 3'!E65</f>
        <v>0</v>
      </c>
      <c r="F65" s="453">
        <f>+'Prog 1'!F65+'Prog 2'!F65+'Prog 3'!F65</f>
        <v>7111000</v>
      </c>
      <c r="G65" s="453">
        <v>0</v>
      </c>
      <c r="H65" s="453">
        <v>0</v>
      </c>
      <c r="I65" s="453">
        <v>0</v>
      </c>
      <c r="J65" s="453">
        <v>0</v>
      </c>
      <c r="K65" s="453">
        <v>0</v>
      </c>
      <c r="L65" s="453">
        <f t="shared" si="48"/>
        <v>7111000</v>
      </c>
      <c r="M65" s="508">
        <f t="shared" si="49"/>
        <v>104711000</v>
      </c>
      <c r="N65" s="620">
        <v>0</v>
      </c>
      <c r="O65" s="425">
        <f>'Prog 1'!N65+'Prog 2'!N65+'Prog 3'!N65</f>
        <v>41577.120000000003</v>
      </c>
      <c r="P65" s="425">
        <f>'Prog 1'!O65+'Prog 2'!O65+'Prog 3'!O65</f>
        <v>41909.029999999992</v>
      </c>
      <c r="Q65" s="508">
        <f>'Prog 1'!P65+'Prog 2'!P65+'Prog 3'!P65</f>
        <v>78322.91</v>
      </c>
      <c r="R65" s="526">
        <f t="shared" si="50"/>
        <v>161809.06</v>
      </c>
      <c r="S65" s="578">
        <f t="shared" si="4"/>
        <v>1.5452918986543916E-3</v>
      </c>
      <c r="T65" s="576">
        <f t="shared" si="5"/>
        <v>104549190.94</v>
      </c>
    </row>
    <row r="66" spans="1:20" s="7" customFormat="1" ht="28.8" x14ac:dyDescent="0.2">
      <c r="A66" s="28" t="s">
        <v>64</v>
      </c>
      <c r="B66" s="420" t="s">
        <v>344</v>
      </c>
      <c r="C66" s="654" t="s">
        <v>345</v>
      </c>
      <c r="D66" s="452">
        <f t="shared" ref="D66:R66" si="51">SUM(D67:D70)</f>
        <v>779725000</v>
      </c>
      <c r="E66" s="452">
        <f t="shared" si="51"/>
        <v>0</v>
      </c>
      <c r="F66" s="452">
        <f t="shared" ref="F66" si="52">SUM(F67:F70)</f>
        <v>-90102800</v>
      </c>
      <c r="G66" s="452">
        <f t="shared" si="51"/>
        <v>0</v>
      </c>
      <c r="H66" s="452">
        <f t="shared" si="51"/>
        <v>0</v>
      </c>
      <c r="I66" s="452">
        <f t="shared" si="51"/>
        <v>0</v>
      </c>
      <c r="J66" s="452">
        <f t="shared" si="51"/>
        <v>0</v>
      </c>
      <c r="K66" s="452">
        <f t="shared" si="51"/>
        <v>0</v>
      </c>
      <c r="L66" s="452">
        <f t="shared" si="51"/>
        <v>-90102800</v>
      </c>
      <c r="M66" s="507">
        <f t="shared" si="51"/>
        <v>689622200</v>
      </c>
      <c r="N66" s="619">
        <v>21005984.18</v>
      </c>
      <c r="O66" s="422">
        <f t="shared" si="51"/>
        <v>13110350</v>
      </c>
      <c r="P66" s="422">
        <f t="shared" si="51"/>
        <v>25717884.779999997</v>
      </c>
      <c r="Q66" s="507">
        <f t="shared" si="51"/>
        <v>18509626</v>
      </c>
      <c r="R66" s="524">
        <f t="shared" si="51"/>
        <v>78343844.959999993</v>
      </c>
      <c r="S66" s="579">
        <f t="shared" si="4"/>
        <v>0.11360400659955551</v>
      </c>
      <c r="T66" s="575">
        <f t="shared" si="5"/>
        <v>611278355.03999996</v>
      </c>
    </row>
    <row r="67" spans="1:20" s="7" customFormat="1" ht="14.4" x14ac:dyDescent="0.2">
      <c r="A67" s="37" t="s">
        <v>64</v>
      </c>
      <c r="B67" s="423" t="s">
        <v>346</v>
      </c>
      <c r="C67" s="424" t="s">
        <v>80</v>
      </c>
      <c r="D67" s="453">
        <f>+'Prog 1'!D67+'Prog 2'!D67+'Prog 3'!D67</f>
        <v>276675000</v>
      </c>
      <c r="E67" s="453">
        <f>+'Prog 1'!E67+'Prog 2'!E67+'Prog 3'!E67</f>
        <v>0</v>
      </c>
      <c r="F67" s="453">
        <f>+'Prog 1'!F67+'Prog 2'!F67+'Prog 3'!F67</f>
        <v>-41257000</v>
      </c>
      <c r="G67" s="453">
        <v>0</v>
      </c>
      <c r="H67" s="453">
        <v>0</v>
      </c>
      <c r="I67" s="453">
        <v>0</v>
      </c>
      <c r="J67" s="453">
        <v>0</v>
      </c>
      <c r="K67" s="453">
        <v>0</v>
      </c>
      <c r="L67" s="453">
        <f t="shared" ref="L67:L70" si="53">SUM(E67:K67)</f>
        <v>-41257000</v>
      </c>
      <c r="M67" s="508">
        <f t="shared" ref="M67:M70" si="54">D67+L67</f>
        <v>235418000</v>
      </c>
      <c r="N67" s="620">
        <v>4603259.08</v>
      </c>
      <c r="O67" s="425">
        <f>'Prog 1'!N67+'Prog 2'!N67+'Prog 3'!N67</f>
        <v>3046230</v>
      </c>
      <c r="P67" s="425">
        <f>'Prog 1'!O67+'Prog 2'!O67+'Prog 3'!O67</f>
        <v>9259589</v>
      </c>
      <c r="Q67" s="508">
        <f>'Prog 1'!P67+'Prog 2'!P67+'Prog 3'!P67</f>
        <v>5365310.9999999981</v>
      </c>
      <c r="R67" s="526">
        <f t="shared" ref="R67:R70" si="55">N67+O67+P67+Q67</f>
        <v>22274389.079999998</v>
      </c>
      <c r="S67" s="578">
        <f t="shared" si="4"/>
        <v>9.461633808799666E-2</v>
      </c>
      <c r="T67" s="576">
        <f t="shared" si="5"/>
        <v>213143610.92000002</v>
      </c>
    </row>
    <row r="68" spans="1:20" s="7" customFormat="1" ht="14.4" x14ac:dyDescent="0.2">
      <c r="A68" s="37" t="s">
        <v>64</v>
      </c>
      <c r="B68" s="423" t="s">
        <v>347</v>
      </c>
      <c r="C68" s="424" t="s">
        <v>81</v>
      </c>
      <c r="D68" s="453">
        <f>+'Prog 1'!D68+'Prog 2'!D68+'Prog 3'!D68</f>
        <v>483050000</v>
      </c>
      <c r="E68" s="453">
        <f>+'Prog 1'!E68+'Prog 2'!E68+'Prog 3'!E68</f>
        <v>0</v>
      </c>
      <c r="F68" s="453">
        <f>+'Prog 1'!F68+'Prog 2'!F68+'Prog 3'!F68</f>
        <v>-48845800</v>
      </c>
      <c r="G68" s="453">
        <v>0</v>
      </c>
      <c r="H68" s="453">
        <v>0</v>
      </c>
      <c r="I68" s="453">
        <v>0</v>
      </c>
      <c r="J68" s="453">
        <v>0</v>
      </c>
      <c r="K68" s="453">
        <v>0</v>
      </c>
      <c r="L68" s="453">
        <f t="shared" si="53"/>
        <v>-48845800</v>
      </c>
      <c r="M68" s="508">
        <f t="shared" si="54"/>
        <v>434204200</v>
      </c>
      <c r="N68" s="620">
        <v>11894698.280000001</v>
      </c>
      <c r="O68" s="425">
        <f>'Prog 1'!N68+'Prog 2'!N68+'Prog 3'!N68</f>
        <v>10064120</v>
      </c>
      <c r="P68" s="425">
        <f>'Prog 1'!O68+'Prog 2'!O68+'Prog 3'!O68</f>
        <v>16458295.779999997</v>
      </c>
      <c r="Q68" s="508">
        <f>'Prog 1'!P68+'Prog 2'!P68+'Prog 3'!P68</f>
        <v>13144315</v>
      </c>
      <c r="R68" s="526">
        <f t="shared" si="55"/>
        <v>51561429.060000002</v>
      </c>
      <c r="S68" s="578">
        <f t="shared" si="4"/>
        <v>0.11874926373351526</v>
      </c>
      <c r="T68" s="576">
        <f t="shared" si="5"/>
        <v>382642770.94</v>
      </c>
    </row>
    <row r="69" spans="1:20" s="8" customFormat="1" ht="14.4" x14ac:dyDescent="0.2">
      <c r="A69" s="37" t="s">
        <v>64</v>
      </c>
      <c r="B69" s="423" t="s">
        <v>348</v>
      </c>
      <c r="C69" s="424" t="s">
        <v>349</v>
      </c>
      <c r="D69" s="453">
        <f>+'Prog 1'!D69+'Prog 2'!D69+'Prog 3'!D69</f>
        <v>10000000</v>
      </c>
      <c r="E69" s="453">
        <f>+'Prog 1'!E69+'Prog 2'!E69+'Prog 3'!E69</f>
        <v>0</v>
      </c>
      <c r="F69" s="453">
        <f>+'Prog 1'!F69+'Prog 2'!F69+'Prog 3'!F69</f>
        <v>0</v>
      </c>
      <c r="G69" s="453">
        <v>0</v>
      </c>
      <c r="H69" s="453">
        <v>0</v>
      </c>
      <c r="I69" s="453">
        <v>0</v>
      </c>
      <c r="J69" s="453">
        <v>0</v>
      </c>
      <c r="K69" s="453">
        <v>0</v>
      </c>
      <c r="L69" s="453">
        <f t="shared" si="53"/>
        <v>0</v>
      </c>
      <c r="M69" s="508">
        <f t="shared" si="54"/>
        <v>10000000</v>
      </c>
      <c r="N69" s="620">
        <v>2060000</v>
      </c>
      <c r="O69" s="425">
        <f>'Prog 1'!N69+'Prog 2'!N69+'Prog 3'!N69</f>
        <v>0</v>
      </c>
      <c r="P69" s="425">
        <f>'Prog 1'!O69+'Prog 2'!O69+'Prog 3'!O69</f>
        <v>0</v>
      </c>
      <c r="Q69" s="508">
        <f>'Prog 1'!P69+'Prog 2'!P69+'Prog 3'!P69</f>
        <v>0</v>
      </c>
      <c r="R69" s="526">
        <f t="shared" si="55"/>
        <v>2060000</v>
      </c>
      <c r="S69" s="578">
        <f t="shared" si="4"/>
        <v>0.20599999999999999</v>
      </c>
      <c r="T69" s="576">
        <f t="shared" si="5"/>
        <v>7940000</v>
      </c>
    </row>
    <row r="70" spans="1:20" s="8" customFormat="1" ht="14.4" x14ac:dyDescent="0.2">
      <c r="A70" s="37" t="s">
        <v>64</v>
      </c>
      <c r="B70" s="423" t="s">
        <v>350</v>
      </c>
      <c r="C70" s="424" t="s">
        <v>351</v>
      </c>
      <c r="D70" s="453">
        <f>+'Prog 1'!D70+'Prog 2'!D70+'Prog 3'!D70</f>
        <v>10000000</v>
      </c>
      <c r="E70" s="453">
        <f>+'Prog 1'!E70+'Prog 2'!E70+'Prog 3'!E70</f>
        <v>0</v>
      </c>
      <c r="F70" s="453">
        <f>+'Prog 1'!F70+'Prog 2'!F70+'Prog 3'!F70</f>
        <v>0</v>
      </c>
      <c r="G70" s="453">
        <v>0</v>
      </c>
      <c r="H70" s="453">
        <v>0</v>
      </c>
      <c r="I70" s="453">
        <v>0</v>
      </c>
      <c r="J70" s="453">
        <v>0</v>
      </c>
      <c r="K70" s="453">
        <v>0</v>
      </c>
      <c r="L70" s="453">
        <f t="shared" si="53"/>
        <v>0</v>
      </c>
      <c r="M70" s="508">
        <f t="shared" si="54"/>
        <v>10000000</v>
      </c>
      <c r="N70" s="620">
        <v>2448026.8199999998</v>
      </c>
      <c r="O70" s="425">
        <f>'Prog 1'!N70+'Prog 2'!N70+'Prog 3'!N70</f>
        <v>0</v>
      </c>
      <c r="P70" s="425">
        <f>'Prog 1'!O70+'Prog 2'!O70+'Prog 3'!O70</f>
        <v>0</v>
      </c>
      <c r="Q70" s="508">
        <f>'Prog 1'!P70+'Prog 2'!P70+'Prog 3'!P70</f>
        <v>0</v>
      </c>
      <c r="R70" s="526">
        <f t="shared" si="55"/>
        <v>2448026.8199999998</v>
      </c>
      <c r="S70" s="578">
        <f t="shared" si="4"/>
        <v>0.24480268199999999</v>
      </c>
      <c r="T70" s="576">
        <f t="shared" si="5"/>
        <v>7551973.1799999997</v>
      </c>
    </row>
    <row r="71" spans="1:20" s="8" customFormat="1" ht="28.8" x14ac:dyDescent="0.2">
      <c r="A71" s="28" t="s">
        <v>64</v>
      </c>
      <c r="B71" s="420" t="s">
        <v>352</v>
      </c>
      <c r="C71" s="654" t="s">
        <v>531</v>
      </c>
      <c r="D71" s="452">
        <f t="shared" ref="D71:R71" si="56">SUM(D72)</f>
        <v>93000000</v>
      </c>
      <c r="E71" s="452">
        <f t="shared" si="56"/>
        <v>0</v>
      </c>
      <c r="F71" s="452">
        <f t="shared" si="56"/>
        <v>0</v>
      </c>
      <c r="G71" s="452">
        <f t="shared" si="56"/>
        <v>0</v>
      </c>
      <c r="H71" s="452">
        <f t="shared" si="56"/>
        <v>0</v>
      </c>
      <c r="I71" s="452">
        <f t="shared" si="56"/>
        <v>0</v>
      </c>
      <c r="J71" s="452">
        <f t="shared" si="56"/>
        <v>0</v>
      </c>
      <c r="K71" s="452">
        <f t="shared" si="56"/>
        <v>0</v>
      </c>
      <c r="L71" s="452">
        <f t="shared" si="56"/>
        <v>0</v>
      </c>
      <c r="M71" s="507">
        <f t="shared" si="56"/>
        <v>93000000</v>
      </c>
      <c r="N71" s="619">
        <v>68740674</v>
      </c>
      <c r="O71" s="422">
        <f t="shared" si="56"/>
        <v>1795783.9699999988</v>
      </c>
      <c r="P71" s="422">
        <f t="shared" si="56"/>
        <v>0</v>
      </c>
      <c r="Q71" s="507">
        <f t="shared" si="56"/>
        <v>0</v>
      </c>
      <c r="R71" s="524">
        <f t="shared" si="56"/>
        <v>70536457.969999999</v>
      </c>
      <c r="S71" s="579">
        <f t="shared" si="4"/>
        <v>0.75845653731182794</v>
      </c>
      <c r="T71" s="575">
        <f t="shared" si="5"/>
        <v>22463542.030000001</v>
      </c>
    </row>
    <row r="72" spans="1:20" s="7" customFormat="1" ht="14.4" x14ac:dyDescent="0.2">
      <c r="A72" s="37" t="s">
        <v>64</v>
      </c>
      <c r="B72" s="423" t="s">
        <v>353</v>
      </c>
      <c r="C72" s="424" t="s">
        <v>82</v>
      </c>
      <c r="D72" s="453">
        <f>+'Prog 1'!D72+'Prog 2'!D72+'Prog 3'!D72</f>
        <v>93000000</v>
      </c>
      <c r="E72" s="453">
        <f>+'Prog 1'!E72+'Prog 2'!E72+'Prog 3'!E72</f>
        <v>0</v>
      </c>
      <c r="F72" s="453">
        <f>+'Prog 1'!F72+'Prog 2'!F72+'Prog 3'!F72</f>
        <v>0</v>
      </c>
      <c r="G72" s="453">
        <v>0</v>
      </c>
      <c r="H72" s="453">
        <v>0</v>
      </c>
      <c r="I72" s="453">
        <v>0</v>
      </c>
      <c r="J72" s="453">
        <v>0</v>
      </c>
      <c r="K72" s="453">
        <v>0</v>
      </c>
      <c r="L72" s="453">
        <f>SUM(E72:K72)</f>
        <v>0</v>
      </c>
      <c r="M72" s="508">
        <f>D72+L72</f>
        <v>93000000</v>
      </c>
      <c r="N72" s="620">
        <v>68740674</v>
      </c>
      <c r="O72" s="425">
        <f>'Prog 1'!N72+'Prog 2'!N72+'Prog 3'!N72</f>
        <v>1795783.9699999988</v>
      </c>
      <c r="P72" s="425">
        <f>'Prog 1'!O72+'Prog 2'!O72+'Prog 3'!O72</f>
        <v>0</v>
      </c>
      <c r="Q72" s="508">
        <f>'Prog 1'!P72+'Prog 2'!P72+'Prog 3'!P72</f>
        <v>0</v>
      </c>
      <c r="R72" s="526">
        <f>N72+O72+P72+Q72</f>
        <v>70536457.969999999</v>
      </c>
      <c r="S72" s="578">
        <f t="shared" si="4"/>
        <v>0.75845653731182794</v>
      </c>
      <c r="T72" s="576">
        <f t="shared" si="5"/>
        <v>22463542.030000001</v>
      </c>
    </row>
    <row r="73" spans="1:20" s="7" customFormat="1" ht="28.8" x14ac:dyDescent="0.2">
      <c r="A73" s="28" t="s">
        <v>64</v>
      </c>
      <c r="B73" s="420" t="s">
        <v>354</v>
      </c>
      <c r="C73" s="654" t="s">
        <v>355</v>
      </c>
      <c r="D73" s="452">
        <f t="shared" ref="D73:R73" si="57">SUM(D74:D76)</f>
        <v>620990250</v>
      </c>
      <c r="E73" s="452">
        <f t="shared" si="57"/>
        <v>-49801318</v>
      </c>
      <c r="F73" s="452">
        <f t="shared" ref="F73" si="58">SUM(F74:F76)</f>
        <v>66005800</v>
      </c>
      <c r="G73" s="452">
        <f t="shared" si="57"/>
        <v>0</v>
      </c>
      <c r="H73" s="452">
        <f t="shared" si="57"/>
        <v>0</v>
      </c>
      <c r="I73" s="452">
        <f t="shared" si="57"/>
        <v>0</v>
      </c>
      <c r="J73" s="452">
        <f t="shared" si="57"/>
        <v>0</v>
      </c>
      <c r="K73" s="452">
        <f t="shared" si="57"/>
        <v>0</v>
      </c>
      <c r="L73" s="452">
        <f t="shared" si="57"/>
        <v>16204482</v>
      </c>
      <c r="M73" s="507">
        <f t="shared" si="57"/>
        <v>637194732</v>
      </c>
      <c r="N73" s="619">
        <v>21666402.16</v>
      </c>
      <c r="O73" s="422">
        <f t="shared" si="57"/>
        <v>11520400</v>
      </c>
      <c r="P73" s="422">
        <f t="shared" si="57"/>
        <v>17340083.16</v>
      </c>
      <c r="Q73" s="507">
        <f t="shared" si="57"/>
        <v>19782393.740000002</v>
      </c>
      <c r="R73" s="524">
        <f t="shared" si="57"/>
        <v>70309279.060000002</v>
      </c>
      <c r="S73" s="578">
        <f t="shared" si="4"/>
        <v>0.11034190260694121</v>
      </c>
      <c r="T73" s="576">
        <f t="shared" si="5"/>
        <v>566885452.94000006</v>
      </c>
    </row>
    <row r="74" spans="1:20" s="7" customFormat="1" ht="28.8" x14ac:dyDescent="0.2">
      <c r="A74" s="37" t="s">
        <v>64</v>
      </c>
      <c r="B74" s="423" t="s">
        <v>356</v>
      </c>
      <c r="C74" s="424" t="s">
        <v>83</v>
      </c>
      <c r="D74" s="453">
        <f>+'Prog 1'!D74+'Prog 2'!D74+'Prog 3'!D74</f>
        <v>569820000</v>
      </c>
      <c r="E74" s="453">
        <f>+'Prog 1'!E74+'Prog 2'!E74+'Prog 3'!E74</f>
        <v>-49801318</v>
      </c>
      <c r="F74" s="453">
        <f>+'Prog 1'!F74+'Prog 2'!F74+'Prog 3'!F74</f>
        <v>33505800</v>
      </c>
      <c r="G74" s="453">
        <v>0</v>
      </c>
      <c r="H74" s="453">
        <v>0</v>
      </c>
      <c r="I74" s="453">
        <v>0</v>
      </c>
      <c r="J74" s="453">
        <v>0</v>
      </c>
      <c r="K74" s="453">
        <v>0</v>
      </c>
      <c r="L74" s="453">
        <f t="shared" ref="L74:L76" si="59">SUM(E74:K74)</f>
        <v>-16295518</v>
      </c>
      <c r="M74" s="508">
        <f t="shared" ref="M74:M76" si="60">D74+L74</f>
        <v>553524482</v>
      </c>
      <c r="N74" s="620">
        <v>2731402.16</v>
      </c>
      <c r="O74" s="425">
        <f>'Prog 1'!N74+'Prog 2'!N74+'Prog 3'!N74</f>
        <v>8288600</v>
      </c>
      <c r="P74" s="425">
        <f>'Prog 1'!O74+'Prog 2'!O74+'Prog 3'!O74</f>
        <v>17194083</v>
      </c>
      <c r="Q74" s="508">
        <f>'Prog 1'!P74+'Prog 2'!P74+'Prog 3'!P74</f>
        <v>19782393.740000002</v>
      </c>
      <c r="R74" s="526">
        <f t="shared" ref="R74:R76" si="61">N74+O74+P74+Q74</f>
        <v>47996478.900000006</v>
      </c>
      <c r="S74" s="578">
        <f t="shared" si="4"/>
        <v>8.6710670369228596E-2</v>
      </c>
      <c r="T74" s="576">
        <f t="shared" si="5"/>
        <v>505528003.10000002</v>
      </c>
    </row>
    <row r="75" spans="1:20" s="7" customFormat="1" ht="28.8" x14ac:dyDescent="0.2">
      <c r="A75" s="37" t="s">
        <v>64</v>
      </c>
      <c r="B75" s="423" t="s">
        <v>357</v>
      </c>
      <c r="C75" s="424" t="s">
        <v>84</v>
      </c>
      <c r="D75" s="453">
        <f>+'Prog 1'!D75+'Prog 2'!D75+'Prog 3'!D75</f>
        <v>51170250</v>
      </c>
      <c r="E75" s="453">
        <f>+'Prog 1'!E75+'Prog 2'!E75+'Prog 3'!E75</f>
        <v>0</v>
      </c>
      <c r="F75" s="453">
        <f>+'Prog 1'!F75+'Prog 2'!F75+'Prog 3'!F75</f>
        <v>32500000</v>
      </c>
      <c r="G75" s="453">
        <v>0</v>
      </c>
      <c r="H75" s="453">
        <v>0</v>
      </c>
      <c r="I75" s="453">
        <v>0</v>
      </c>
      <c r="J75" s="453">
        <v>0</v>
      </c>
      <c r="K75" s="453">
        <v>0</v>
      </c>
      <c r="L75" s="453">
        <f t="shared" si="59"/>
        <v>32500000</v>
      </c>
      <c r="M75" s="508">
        <f t="shared" si="60"/>
        <v>83670250</v>
      </c>
      <c r="N75" s="620">
        <v>18935000</v>
      </c>
      <c r="O75" s="425">
        <f>'Prog 1'!N75+'Prog 2'!N75+'Prog 3'!N75</f>
        <v>3231800</v>
      </c>
      <c r="P75" s="425">
        <f>'Prog 1'!O75+'Prog 2'!O75+'Prog 3'!O75</f>
        <v>146000.16000000015</v>
      </c>
      <c r="Q75" s="508">
        <f>'Prog 1'!P75+'Prog 2'!P75+'Prog 3'!P75</f>
        <v>0</v>
      </c>
      <c r="R75" s="526">
        <f t="shared" si="61"/>
        <v>22312800.16</v>
      </c>
      <c r="S75" s="578">
        <f t="shared" si="4"/>
        <v>0.2666754331437996</v>
      </c>
      <c r="T75" s="576">
        <f t="shared" si="5"/>
        <v>61357449.840000004</v>
      </c>
    </row>
    <row r="76" spans="1:20" s="8" customFormat="1" ht="28.8" x14ac:dyDescent="0.2">
      <c r="A76" s="37" t="s">
        <v>64</v>
      </c>
      <c r="B76" s="423" t="s">
        <v>358</v>
      </c>
      <c r="C76" s="424" t="s">
        <v>359</v>
      </c>
      <c r="D76" s="453">
        <f>+'Prog 1'!D76+'Prog 2'!D76+'Prog 3'!D76</f>
        <v>0</v>
      </c>
      <c r="E76" s="453">
        <f>+'Prog 1'!E76+'Prog 2'!E76+'Prog 3'!E76</f>
        <v>0</v>
      </c>
      <c r="F76" s="453">
        <f>+'Prog 1'!F76+'Prog 2'!F76+'Prog 3'!F76</f>
        <v>0</v>
      </c>
      <c r="G76" s="453">
        <v>0</v>
      </c>
      <c r="H76" s="453">
        <v>0</v>
      </c>
      <c r="I76" s="453">
        <v>0</v>
      </c>
      <c r="J76" s="453">
        <v>0</v>
      </c>
      <c r="K76" s="453">
        <v>0</v>
      </c>
      <c r="L76" s="453">
        <f t="shared" si="59"/>
        <v>0</v>
      </c>
      <c r="M76" s="508">
        <f t="shared" si="60"/>
        <v>0</v>
      </c>
      <c r="N76" s="620">
        <v>0</v>
      </c>
      <c r="O76" s="425">
        <f>'Prog 1'!N76+'Prog 2'!N76+'Prog 3'!N76</f>
        <v>0</v>
      </c>
      <c r="P76" s="425">
        <f>'Prog 1'!O76+'Prog 2'!O76+'Prog 3'!O76</f>
        <v>0</v>
      </c>
      <c r="Q76" s="508">
        <f>'Prog 1'!P76+'Prog 2'!P76+'Prog 3'!P76</f>
        <v>0</v>
      </c>
      <c r="R76" s="526">
        <f t="shared" si="61"/>
        <v>0</v>
      </c>
      <c r="S76" s="578" t="e">
        <f t="shared" si="4"/>
        <v>#DIV/0!</v>
      </c>
      <c r="T76" s="576">
        <f t="shared" si="5"/>
        <v>0</v>
      </c>
    </row>
    <row r="77" spans="1:20" s="8" customFormat="1" ht="28.8" x14ac:dyDescent="0.2">
      <c r="A77" s="28" t="s">
        <v>64</v>
      </c>
      <c r="B77" s="420" t="s">
        <v>360</v>
      </c>
      <c r="C77" s="654" t="s">
        <v>361</v>
      </c>
      <c r="D77" s="452">
        <f t="shared" ref="D77:R77" si="62">SUM(D78:D82)</f>
        <v>335000000</v>
      </c>
      <c r="E77" s="452">
        <f t="shared" si="62"/>
        <v>0</v>
      </c>
      <c r="F77" s="452">
        <f t="shared" ref="F77" si="63">SUM(F78:F82)</f>
        <v>295000</v>
      </c>
      <c r="G77" s="452">
        <f t="shared" si="62"/>
        <v>0</v>
      </c>
      <c r="H77" s="452">
        <f t="shared" si="62"/>
        <v>0</v>
      </c>
      <c r="I77" s="452">
        <f t="shared" si="62"/>
        <v>0</v>
      </c>
      <c r="J77" s="452">
        <f t="shared" si="62"/>
        <v>0</v>
      </c>
      <c r="K77" s="452">
        <f t="shared" si="62"/>
        <v>0</v>
      </c>
      <c r="L77" s="452">
        <f t="shared" si="62"/>
        <v>295000</v>
      </c>
      <c r="M77" s="507">
        <f t="shared" si="62"/>
        <v>335295000</v>
      </c>
      <c r="N77" s="619">
        <v>41313652.730000004</v>
      </c>
      <c r="O77" s="422">
        <f t="shared" si="62"/>
        <v>30879907.640000001</v>
      </c>
      <c r="P77" s="422">
        <f t="shared" si="62"/>
        <v>34789328.299999997</v>
      </c>
      <c r="Q77" s="507">
        <f t="shared" si="62"/>
        <v>17463578.870000008</v>
      </c>
      <c r="R77" s="524">
        <f t="shared" si="62"/>
        <v>124446467.53999999</v>
      </c>
      <c r="S77" s="579">
        <f t="shared" si="4"/>
        <v>0.3711551545355582</v>
      </c>
      <c r="T77" s="575">
        <f t="shared" si="5"/>
        <v>210848532.46000001</v>
      </c>
    </row>
    <row r="78" spans="1:20" s="7" customFormat="1" ht="28.8" x14ac:dyDescent="0.2">
      <c r="A78" s="37" t="s">
        <v>64</v>
      </c>
      <c r="B78" s="423" t="s">
        <v>362</v>
      </c>
      <c r="C78" s="424" t="s">
        <v>467</v>
      </c>
      <c r="D78" s="453">
        <f>+'Prog 1'!D78+'Prog 2'!D78+'Prog 3'!D78</f>
        <v>100000000</v>
      </c>
      <c r="E78" s="453">
        <f>+'Prog 1'!E78+'Prog 2'!E78+'Prog 3'!E78</f>
        <v>0</v>
      </c>
      <c r="F78" s="453">
        <f>+'Prog 1'!F78+'Prog 2'!F78+'Prog 3'!F78</f>
        <v>0</v>
      </c>
      <c r="G78" s="453">
        <v>0</v>
      </c>
      <c r="H78" s="453">
        <v>0</v>
      </c>
      <c r="I78" s="453">
        <v>0</v>
      </c>
      <c r="J78" s="453">
        <v>0</v>
      </c>
      <c r="K78" s="453">
        <v>0</v>
      </c>
      <c r="L78" s="453">
        <f t="shared" ref="L78:L82" si="64">SUM(E78:K78)</f>
        <v>0</v>
      </c>
      <c r="M78" s="508">
        <f t="shared" ref="M78:M82" si="65">D78+L78</f>
        <v>100000000</v>
      </c>
      <c r="N78" s="620">
        <v>8882523.4499999993</v>
      </c>
      <c r="O78" s="425">
        <f>'Prog 1'!N78+'Prog 2'!N78+'Prog 3'!N78</f>
        <v>17198794.190000001</v>
      </c>
      <c r="P78" s="425">
        <f>'Prog 1'!O78+'Prog 2'!O78+'Prog 3'!O78</f>
        <v>23206500.669999998</v>
      </c>
      <c r="Q78" s="508">
        <f>'Prog 1'!P78+'Prog 2'!P78+'Prog 3'!P78</f>
        <v>14044393.280000005</v>
      </c>
      <c r="R78" s="526">
        <f t="shared" ref="R78:R82" si="66">N78+O78+P78+Q78</f>
        <v>63332211.590000004</v>
      </c>
      <c r="S78" s="578">
        <f t="shared" si="4"/>
        <v>0.63332211589999998</v>
      </c>
      <c r="T78" s="576">
        <f t="shared" si="5"/>
        <v>36667788.409999996</v>
      </c>
    </row>
    <row r="79" spans="1:20" s="8" customFormat="1" ht="28.8" x14ac:dyDescent="0.2">
      <c r="A79" s="37" t="s">
        <v>64</v>
      </c>
      <c r="B79" s="423" t="s">
        <v>363</v>
      </c>
      <c r="C79" s="424" t="s">
        <v>470</v>
      </c>
      <c r="D79" s="453">
        <f>+'Prog 1'!D79+'Prog 2'!D79+'Prog 3'!D79</f>
        <v>28000000</v>
      </c>
      <c r="E79" s="453">
        <f>+'Prog 1'!E79+'Prog 2'!E79+'Prog 3'!E79</f>
        <v>0</v>
      </c>
      <c r="F79" s="453">
        <f>+'Prog 1'!F79+'Prog 2'!F79+'Prog 3'!F79</f>
        <v>295000</v>
      </c>
      <c r="G79" s="453">
        <v>0</v>
      </c>
      <c r="H79" s="453">
        <v>0</v>
      </c>
      <c r="I79" s="453">
        <v>0</v>
      </c>
      <c r="J79" s="453">
        <v>0</v>
      </c>
      <c r="K79" s="453">
        <v>0</v>
      </c>
      <c r="L79" s="453">
        <f t="shared" si="64"/>
        <v>295000</v>
      </c>
      <c r="M79" s="508">
        <f t="shared" si="65"/>
        <v>28295000</v>
      </c>
      <c r="N79" s="620">
        <v>9288594.7100000009</v>
      </c>
      <c r="O79" s="425">
        <f>'Prog 1'!N79+'Prog 2'!N79+'Prog 3'!N79</f>
        <v>6606948.1199999992</v>
      </c>
      <c r="P79" s="425">
        <f>'Prog 1'!O79+'Prog 2'!O79+'Prog 3'!O79</f>
        <v>3876816.7000000011</v>
      </c>
      <c r="Q79" s="508">
        <f>'Prog 1'!P79+'Prog 2'!P79+'Prog 3'!P79</f>
        <v>218558.28999999911</v>
      </c>
      <c r="R79" s="526">
        <f t="shared" si="66"/>
        <v>19990917.82</v>
      </c>
      <c r="S79" s="578">
        <f t="shared" ref="S79:S144" si="67">R79/M79</f>
        <v>0.70651768227602052</v>
      </c>
      <c r="T79" s="576">
        <f t="shared" ref="T79:T144" si="68">M79-R79</f>
        <v>8304082.1799999997</v>
      </c>
    </row>
    <row r="80" spans="1:20" s="7" customFormat="1" ht="28.8" x14ac:dyDescent="0.2">
      <c r="A80" s="37" t="s">
        <v>64</v>
      </c>
      <c r="B80" s="423" t="s">
        <v>364</v>
      </c>
      <c r="C80" s="424" t="s">
        <v>532</v>
      </c>
      <c r="D80" s="453">
        <f>+'Prog 1'!D80+'Prog 2'!D80+'Prog 3'!D80</f>
        <v>4000000</v>
      </c>
      <c r="E80" s="453">
        <f>+'Prog 1'!E80+'Prog 2'!E80+'Prog 3'!E80</f>
        <v>0</v>
      </c>
      <c r="F80" s="453">
        <f>+'Prog 1'!F80+'Prog 2'!F80+'Prog 3'!F80</f>
        <v>0</v>
      </c>
      <c r="G80" s="453">
        <v>0</v>
      </c>
      <c r="H80" s="453">
        <v>0</v>
      </c>
      <c r="I80" s="453">
        <v>0</v>
      </c>
      <c r="J80" s="453">
        <v>0</v>
      </c>
      <c r="K80" s="453">
        <v>0</v>
      </c>
      <c r="L80" s="453">
        <f t="shared" si="64"/>
        <v>0</v>
      </c>
      <c r="M80" s="508">
        <f t="shared" si="65"/>
        <v>4000000</v>
      </c>
      <c r="N80" s="620">
        <v>758707.54</v>
      </c>
      <c r="O80" s="425">
        <f>'Prog 1'!N80+'Prog 2'!N80+'Prog 3'!N80</f>
        <v>49009.569999999949</v>
      </c>
      <c r="P80" s="425">
        <f>'Prog 1'!O80+'Prog 2'!O80+'Prog 3'!O80</f>
        <v>42500</v>
      </c>
      <c r="Q80" s="508">
        <f>'Prog 1'!P80+'Prog 2'!P80+'Prog 3'!P80</f>
        <v>43700</v>
      </c>
      <c r="R80" s="526">
        <f t="shared" si="66"/>
        <v>893917.11</v>
      </c>
      <c r="S80" s="578">
        <f t="shared" si="67"/>
        <v>0.22347927749999999</v>
      </c>
      <c r="T80" s="576">
        <f t="shared" si="68"/>
        <v>3106082.89</v>
      </c>
    </row>
    <row r="81" spans="1:20" s="7" customFormat="1" ht="28.8" x14ac:dyDescent="0.2">
      <c r="A81" s="37" t="s">
        <v>64</v>
      </c>
      <c r="B81" s="423" t="s">
        <v>365</v>
      </c>
      <c r="C81" s="424" t="s">
        <v>533</v>
      </c>
      <c r="D81" s="453">
        <f>+'Prog 1'!D81+'Prog 2'!D81+'Prog 3'!D81</f>
        <v>201000000</v>
      </c>
      <c r="E81" s="453">
        <f>+'Prog 1'!E81+'Prog 2'!E81+'Prog 3'!E81</f>
        <v>0</v>
      </c>
      <c r="F81" s="453">
        <f>+'Prog 1'!F81+'Prog 2'!F81+'Prog 3'!F81</f>
        <v>0</v>
      </c>
      <c r="G81" s="453">
        <v>0</v>
      </c>
      <c r="H81" s="453">
        <v>0</v>
      </c>
      <c r="I81" s="453">
        <v>0</v>
      </c>
      <c r="J81" s="453">
        <v>0</v>
      </c>
      <c r="K81" s="453">
        <v>0</v>
      </c>
      <c r="L81" s="453">
        <f t="shared" si="64"/>
        <v>0</v>
      </c>
      <c r="M81" s="508">
        <f t="shared" si="65"/>
        <v>201000000</v>
      </c>
      <c r="N81" s="620">
        <v>22383827.030000001</v>
      </c>
      <c r="O81" s="425">
        <f>'Prog 1'!N81+'Prog 2'!N81+'Prog 3'!N81</f>
        <v>7025155.7599999979</v>
      </c>
      <c r="P81" s="425">
        <f>'Prog 1'!O81+'Prog 2'!O81+'Prog 3'!O81</f>
        <v>7663510.9299999997</v>
      </c>
      <c r="Q81" s="508">
        <f>'Prog 1'!P81+'Prog 2'!P81+'Prog 3'!P81</f>
        <v>3156927.3000000045</v>
      </c>
      <c r="R81" s="526">
        <f t="shared" si="66"/>
        <v>40229421.020000003</v>
      </c>
      <c r="S81" s="578">
        <f t="shared" si="67"/>
        <v>0.20014637323383086</v>
      </c>
      <c r="T81" s="576">
        <f t="shared" si="68"/>
        <v>160770578.97999999</v>
      </c>
    </row>
    <row r="82" spans="1:20" s="7" customFormat="1" ht="28.8" x14ac:dyDescent="0.2">
      <c r="A82" s="37" t="s">
        <v>64</v>
      </c>
      <c r="B82" s="423" t="s">
        <v>366</v>
      </c>
      <c r="C82" s="424" t="s">
        <v>468</v>
      </c>
      <c r="D82" s="453">
        <f>+'Prog 1'!D82+'Prog 2'!D82+'Prog 3'!D82</f>
        <v>2000000</v>
      </c>
      <c r="E82" s="453">
        <f>+'Prog 1'!E82+'Prog 2'!E82+'Prog 3'!E82</f>
        <v>0</v>
      </c>
      <c r="F82" s="453">
        <f>+'Prog 1'!F82+'Prog 2'!F82+'Prog 3'!F82</f>
        <v>0</v>
      </c>
      <c r="G82" s="453">
        <v>0</v>
      </c>
      <c r="H82" s="453">
        <v>0</v>
      </c>
      <c r="I82" s="453">
        <v>0</v>
      </c>
      <c r="J82" s="453">
        <v>0</v>
      </c>
      <c r="K82" s="453">
        <v>0</v>
      </c>
      <c r="L82" s="453">
        <f t="shared" si="64"/>
        <v>0</v>
      </c>
      <c r="M82" s="508">
        <f t="shared" si="65"/>
        <v>2000000</v>
      </c>
      <c r="N82" s="620">
        <v>0</v>
      </c>
      <c r="O82" s="425">
        <f>'Prog 1'!N82+'Prog 2'!N82+'Prog 3'!N82</f>
        <v>0</v>
      </c>
      <c r="P82" s="425">
        <f>'Prog 1'!O82+'Prog 2'!O82+'Prog 3'!O82</f>
        <v>0</v>
      </c>
      <c r="Q82" s="508">
        <f>'Prog 1'!P82+'Prog 2'!P82+'Prog 3'!P82</f>
        <v>0</v>
      </c>
      <c r="R82" s="526">
        <f t="shared" si="66"/>
        <v>0</v>
      </c>
      <c r="S82" s="578">
        <f t="shared" si="67"/>
        <v>0</v>
      </c>
      <c r="T82" s="576">
        <f t="shared" si="68"/>
        <v>2000000</v>
      </c>
    </row>
    <row r="83" spans="1:20" s="8" customFormat="1" ht="14.4" x14ac:dyDescent="0.2">
      <c r="A83" s="437" t="s">
        <v>85</v>
      </c>
      <c r="B83" s="420" t="s">
        <v>367</v>
      </c>
      <c r="C83" s="654" t="s">
        <v>368</v>
      </c>
      <c r="D83" s="452">
        <f t="shared" ref="D83:R83" si="69">SUM(D84)</f>
        <v>1800000</v>
      </c>
      <c r="E83" s="452">
        <f t="shared" si="69"/>
        <v>0</v>
      </c>
      <c r="F83" s="452">
        <f t="shared" si="69"/>
        <v>0</v>
      </c>
      <c r="G83" s="452">
        <f t="shared" si="69"/>
        <v>0</v>
      </c>
      <c r="H83" s="452">
        <f t="shared" si="69"/>
        <v>0</v>
      </c>
      <c r="I83" s="452">
        <f t="shared" si="69"/>
        <v>0</v>
      </c>
      <c r="J83" s="452">
        <f t="shared" si="69"/>
        <v>0</v>
      </c>
      <c r="K83" s="452">
        <f t="shared" si="69"/>
        <v>0</v>
      </c>
      <c r="L83" s="452">
        <f t="shared" si="69"/>
        <v>0</v>
      </c>
      <c r="M83" s="507">
        <f t="shared" si="69"/>
        <v>1800000</v>
      </c>
      <c r="N83" s="619">
        <v>0</v>
      </c>
      <c r="O83" s="422">
        <f t="shared" si="69"/>
        <v>0</v>
      </c>
      <c r="P83" s="422">
        <f t="shared" si="69"/>
        <v>0</v>
      </c>
      <c r="Q83" s="507">
        <f t="shared" si="69"/>
        <v>139742</v>
      </c>
      <c r="R83" s="524">
        <f t="shared" si="69"/>
        <v>139742</v>
      </c>
      <c r="S83" s="579">
        <f t="shared" si="67"/>
        <v>7.763444444444445E-2</v>
      </c>
      <c r="T83" s="575">
        <f t="shared" si="68"/>
        <v>1660258</v>
      </c>
    </row>
    <row r="84" spans="1:20" s="7" customFormat="1" ht="14.4" x14ac:dyDescent="0.2">
      <c r="A84" s="438" t="s">
        <v>85</v>
      </c>
      <c r="B84" s="423" t="s">
        <v>369</v>
      </c>
      <c r="C84" s="424" t="s">
        <v>86</v>
      </c>
      <c r="D84" s="453">
        <f>+'Prog 1'!D84+'Prog 2'!D84+'Prog 3'!D84</f>
        <v>1800000</v>
      </c>
      <c r="E84" s="453">
        <f>+'Prog 1'!E84+'Prog 2'!E84+'Prog 3'!E84</f>
        <v>0</v>
      </c>
      <c r="F84" s="453">
        <f>+'Prog 1'!F84+'Prog 2'!F84+'Prog 3'!F84</f>
        <v>0</v>
      </c>
      <c r="G84" s="453">
        <v>0</v>
      </c>
      <c r="H84" s="453">
        <v>0</v>
      </c>
      <c r="I84" s="453">
        <v>0</v>
      </c>
      <c r="J84" s="453">
        <v>0</v>
      </c>
      <c r="K84" s="453">
        <v>0</v>
      </c>
      <c r="L84" s="453">
        <f>SUM(E84:K84)</f>
        <v>0</v>
      </c>
      <c r="M84" s="508">
        <f>D84+L84</f>
        <v>1800000</v>
      </c>
      <c r="N84" s="620">
        <v>0</v>
      </c>
      <c r="O84" s="425">
        <f>'Prog 1'!N84+'Prog 2'!N84+'Prog 3'!N84</f>
        <v>0</v>
      </c>
      <c r="P84" s="425">
        <f>'Prog 1'!O84+'Prog 2'!O84+'Prog 3'!O84</f>
        <v>0</v>
      </c>
      <c r="Q84" s="508">
        <f>'Prog 1'!P84+'Prog 2'!P84+'Prog 3'!P84</f>
        <v>139742</v>
      </c>
      <c r="R84" s="526">
        <f>N84+O84+P84+Q84</f>
        <v>139742</v>
      </c>
      <c r="S84" s="578">
        <f t="shared" si="67"/>
        <v>7.763444444444445E-2</v>
      </c>
      <c r="T84" s="576">
        <f t="shared" si="68"/>
        <v>1660258</v>
      </c>
    </row>
    <row r="85" spans="1:20" s="7" customFormat="1" ht="14.4" x14ac:dyDescent="0.2">
      <c r="A85" s="432" t="s">
        <v>64</v>
      </c>
      <c r="B85" s="420" t="s">
        <v>370</v>
      </c>
      <c r="C85" s="654" t="s">
        <v>371</v>
      </c>
      <c r="D85" s="452">
        <f t="shared" ref="D85:R85" si="70">SUM(D86:D87)</f>
        <v>2600000</v>
      </c>
      <c r="E85" s="452">
        <f t="shared" si="70"/>
        <v>0</v>
      </c>
      <c r="F85" s="452">
        <f t="shared" ref="F85" si="71">SUM(F86:F87)</f>
        <v>0</v>
      </c>
      <c r="G85" s="452">
        <f t="shared" si="70"/>
        <v>0</v>
      </c>
      <c r="H85" s="452">
        <f t="shared" si="70"/>
        <v>0</v>
      </c>
      <c r="I85" s="452">
        <f t="shared" si="70"/>
        <v>0</v>
      </c>
      <c r="J85" s="452">
        <f t="shared" si="70"/>
        <v>0</v>
      </c>
      <c r="K85" s="452">
        <f t="shared" si="70"/>
        <v>0</v>
      </c>
      <c r="L85" s="452">
        <f t="shared" si="70"/>
        <v>0</v>
      </c>
      <c r="M85" s="507">
        <f t="shared" si="70"/>
        <v>2600000</v>
      </c>
      <c r="N85" s="619">
        <v>95281.600000000006</v>
      </c>
      <c r="O85" s="422">
        <f t="shared" si="70"/>
        <v>0</v>
      </c>
      <c r="P85" s="422">
        <f t="shared" si="70"/>
        <v>53604</v>
      </c>
      <c r="Q85" s="507">
        <f t="shared" si="70"/>
        <v>300000</v>
      </c>
      <c r="R85" s="524">
        <f t="shared" si="70"/>
        <v>448885.6</v>
      </c>
      <c r="S85" s="579">
        <f t="shared" si="67"/>
        <v>0.17264830769230768</v>
      </c>
      <c r="T85" s="575">
        <f t="shared" si="68"/>
        <v>2151114.4</v>
      </c>
    </row>
    <row r="86" spans="1:20" s="7" customFormat="1" ht="28.8" x14ac:dyDescent="0.2">
      <c r="A86" s="435" t="s">
        <v>64</v>
      </c>
      <c r="B86" s="423" t="s">
        <v>372</v>
      </c>
      <c r="C86" s="424" t="s">
        <v>87</v>
      </c>
      <c r="D86" s="453">
        <f>+'Prog 1'!D86+'Prog 2'!D86+'Prog 3'!D86</f>
        <v>1100000</v>
      </c>
      <c r="E86" s="453">
        <f>+'Prog 1'!E86+'Prog 2'!E86+'Prog 3'!E86</f>
        <v>0</v>
      </c>
      <c r="F86" s="453">
        <f>+'Prog 1'!F86+'Prog 2'!F86+'Prog 3'!F86</f>
        <v>0</v>
      </c>
      <c r="G86" s="453">
        <v>0</v>
      </c>
      <c r="H86" s="453">
        <v>0</v>
      </c>
      <c r="I86" s="453">
        <v>0</v>
      </c>
      <c r="J86" s="453">
        <v>0</v>
      </c>
      <c r="K86" s="453">
        <v>0</v>
      </c>
      <c r="L86" s="453">
        <f t="shared" ref="L86:L87" si="72">SUM(E86:K86)</f>
        <v>0</v>
      </c>
      <c r="M86" s="508">
        <f t="shared" ref="M86:M87" si="73">D86+L86</f>
        <v>1100000</v>
      </c>
      <c r="N86" s="620">
        <v>95281.600000000006</v>
      </c>
      <c r="O86" s="425">
        <f>'Prog 1'!N86+'Prog 2'!N86+'Prog 3'!N86</f>
        <v>0</v>
      </c>
      <c r="P86" s="425">
        <f>'Prog 1'!O86+'Prog 2'!O86+'Prog 3'!O86</f>
        <v>53604</v>
      </c>
      <c r="Q86" s="508">
        <f>'Prog 1'!P86+'Prog 2'!P86+'Prog 3'!P86</f>
        <v>0</v>
      </c>
      <c r="R86" s="526">
        <f t="shared" ref="R86:R87" si="74">N86+O86+P86+Q86</f>
        <v>148885.6</v>
      </c>
      <c r="S86" s="578">
        <f t="shared" si="67"/>
        <v>0.13535054545454547</v>
      </c>
      <c r="T86" s="576">
        <f t="shared" si="68"/>
        <v>951114.4</v>
      </c>
    </row>
    <row r="87" spans="1:20" s="7" customFormat="1" ht="14.4" x14ac:dyDescent="0.2">
      <c r="A87" s="435" t="s">
        <v>64</v>
      </c>
      <c r="B87" s="423" t="s">
        <v>373</v>
      </c>
      <c r="C87" s="424" t="s">
        <v>88</v>
      </c>
      <c r="D87" s="453">
        <f>+'Prog 1'!D87+'Prog 2'!D87+'Prog 3'!D87</f>
        <v>1500000</v>
      </c>
      <c r="E87" s="453">
        <f>+'Prog 1'!E87+'Prog 2'!E87+'Prog 3'!E87</f>
        <v>0</v>
      </c>
      <c r="F87" s="453">
        <f>+'Prog 1'!F87+'Prog 2'!F87+'Prog 3'!F87</f>
        <v>0</v>
      </c>
      <c r="G87" s="453">
        <v>0</v>
      </c>
      <c r="H87" s="453">
        <v>0</v>
      </c>
      <c r="I87" s="453">
        <v>0</v>
      </c>
      <c r="J87" s="453">
        <v>0</v>
      </c>
      <c r="K87" s="453">
        <v>0</v>
      </c>
      <c r="L87" s="453">
        <f t="shared" si="72"/>
        <v>0</v>
      </c>
      <c r="M87" s="508">
        <f t="shared" si="73"/>
        <v>1500000</v>
      </c>
      <c r="N87" s="620">
        <v>0</v>
      </c>
      <c r="O87" s="425">
        <f>'Prog 1'!N87+'Prog 2'!N87+'Prog 3'!N87</f>
        <v>0</v>
      </c>
      <c r="P87" s="425">
        <f>'Prog 1'!O87+'Prog 2'!O87+'Prog 3'!O87</f>
        <v>0</v>
      </c>
      <c r="Q87" s="508">
        <f>'Prog 1'!P87+'Prog 2'!P87+'Prog 3'!P87</f>
        <v>300000</v>
      </c>
      <c r="R87" s="526">
        <f t="shared" si="74"/>
        <v>300000</v>
      </c>
      <c r="S87" s="578">
        <f t="shared" si="67"/>
        <v>0.2</v>
      </c>
      <c r="T87" s="576">
        <f t="shared" si="68"/>
        <v>1200000</v>
      </c>
    </row>
    <row r="88" spans="1:20" s="7" customFormat="1" ht="14.4" x14ac:dyDescent="0.2">
      <c r="A88" s="37"/>
      <c r="B88" s="429"/>
      <c r="C88" s="654"/>
      <c r="D88" s="671"/>
      <c r="E88" s="671"/>
      <c r="F88" s="671"/>
      <c r="G88" s="671"/>
      <c r="H88" s="671"/>
      <c r="I88" s="671"/>
      <c r="J88" s="671"/>
      <c r="K88" s="671"/>
      <c r="L88" s="671"/>
      <c r="M88" s="672"/>
      <c r="N88" s="673"/>
      <c r="O88" s="674"/>
      <c r="P88" s="674"/>
      <c r="Q88" s="672"/>
      <c r="R88" s="675"/>
      <c r="S88" s="578"/>
      <c r="T88" s="576"/>
    </row>
    <row r="89" spans="1:20" s="7" customFormat="1" ht="28.8" x14ac:dyDescent="0.2">
      <c r="A89" s="437" t="s">
        <v>64</v>
      </c>
      <c r="B89" s="439" t="s">
        <v>374</v>
      </c>
      <c r="C89" s="655" t="s">
        <v>375</v>
      </c>
      <c r="D89" s="548">
        <f t="shared" ref="D89:R89" si="75">SUM(D90+D95+D97+D104+D107)</f>
        <v>300945000</v>
      </c>
      <c r="E89" s="548">
        <f t="shared" si="75"/>
        <v>0</v>
      </c>
      <c r="F89" s="548">
        <f t="shared" ref="F89" si="76">SUM(F90+F95+F97+F104+F107)</f>
        <v>8570000</v>
      </c>
      <c r="G89" s="548">
        <f t="shared" si="75"/>
        <v>0</v>
      </c>
      <c r="H89" s="548">
        <f t="shared" si="75"/>
        <v>0</v>
      </c>
      <c r="I89" s="548">
        <f t="shared" si="75"/>
        <v>0</v>
      </c>
      <c r="J89" s="548">
        <f t="shared" si="75"/>
        <v>0</v>
      </c>
      <c r="K89" s="548">
        <f t="shared" si="75"/>
        <v>0</v>
      </c>
      <c r="L89" s="548">
        <f t="shared" si="75"/>
        <v>8570000</v>
      </c>
      <c r="M89" s="510">
        <f t="shared" si="75"/>
        <v>309515000</v>
      </c>
      <c r="N89" s="621">
        <v>27988499.860000003</v>
      </c>
      <c r="O89" s="441">
        <f t="shared" si="75"/>
        <v>34013251</v>
      </c>
      <c r="P89" s="441">
        <f t="shared" si="75"/>
        <v>17740065.600000001</v>
      </c>
      <c r="Q89" s="510">
        <f t="shared" si="75"/>
        <v>27648766.390000004</v>
      </c>
      <c r="R89" s="530">
        <f t="shared" si="75"/>
        <v>107390582.84999999</v>
      </c>
      <c r="S89" s="577">
        <f t="shared" si="67"/>
        <v>0.34696406587725959</v>
      </c>
      <c r="T89" s="574">
        <f t="shared" si="68"/>
        <v>202124417.15000001</v>
      </c>
    </row>
    <row r="90" spans="1:20" s="8" customFormat="1" ht="28.8" x14ac:dyDescent="0.2">
      <c r="A90" s="432" t="s">
        <v>64</v>
      </c>
      <c r="B90" s="420" t="s">
        <v>376</v>
      </c>
      <c r="C90" s="654" t="s">
        <v>377</v>
      </c>
      <c r="D90" s="452">
        <f t="shared" ref="D90:R90" si="77">SUM(D91:D94)</f>
        <v>61400000</v>
      </c>
      <c r="E90" s="452">
        <f t="shared" si="77"/>
        <v>0</v>
      </c>
      <c r="F90" s="452">
        <f t="shared" ref="F90" si="78">SUM(F91:F94)</f>
        <v>370000</v>
      </c>
      <c r="G90" s="452">
        <f t="shared" si="77"/>
        <v>0</v>
      </c>
      <c r="H90" s="452">
        <f t="shared" si="77"/>
        <v>0</v>
      </c>
      <c r="I90" s="452">
        <f t="shared" si="77"/>
        <v>0</v>
      </c>
      <c r="J90" s="452">
        <f t="shared" si="77"/>
        <v>0</v>
      </c>
      <c r="K90" s="452">
        <f t="shared" si="77"/>
        <v>0</v>
      </c>
      <c r="L90" s="452">
        <f t="shared" si="77"/>
        <v>370000</v>
      </c>
      <c r="M90" s="507">
        <f t="shared" si="77"/>
        <v>61770000</v>
      </c>
      <c r="N90" s="619">
        <v>10861359.33</v>
      </c>
      <c r="O90" s="422">
        <f t="shared" si="77"/>
        <v>3349850.65</v>
      </c>
      <c r="P90" s="422">
        <f t="shared" si="77"/>
        <v>2186674.1900000004</v>
      </c>
      <c r="Q90" s="507">
        <f t="shared" si="77"/>
        <v>4453924.2399999984</v>
      </c>
      <c r="R90" s="524">
        <f t="shared" si="77"/>
        <v>20851808.41</v>
      </c>
      <c r="S90" s="579">
        <f t="shared" si="67"/>
        <v>0.33757177286708756</v>
      </c>
      <c r="T90" s="575">
        <f t="shared" si="68"/>
        <v>40918191.590000004</v>
      </c>
    </row>
    <row r="91" spans="1:20" s="7" customFormat="1" ht="14.4" x14ac:dyDescent="0.2">
      <c r="A91" s="435" t="s">
        <v>64</v>
      </c>
      <c r="B91" s="423" t="s">
        <v>378</v>
      </c>
      <c r="C91" s="424" t="s">
        <v>89</v>
      </c>
      <c r="D91" s="453">
        <f>+'Prog 1'!D91+'Prog 2'!D91+'Prog 3'!D91</f>
        <v>33450000</v>
      </c>
      <c r="E91" s="453">
        <f>+'Prog 1'!E91+'Prog 2'!E91+'Prog 3'!E91</f>
        <v>0</v>
      </c>
      <c r="F91" s="453">
        <f>+'Prog 1'!F91+'Prog 2'!F91+'Prog 3'!F91</f>
        <v>370000</v>
      </c>
      <c r="G91" s="453">
        <v>0</v>
      </c>
      <c r="H91" s="453">
        <v>0</v>
      </c>
      <c r="I91" s="453">
        <v>0</v>
      </c>
      <c r="J91" s="453">
        <v>0</v>
      </c>
      <c r="K91" s="453">
        <v>0</v>
      </c>
      <c r="L91" s="453">
        <f t="shared" ref="L91:L94" si="79">SUM(E91:K91)</f>
        <v>370000</v>
      </c>
      <c r="M91" s="508">
        <f t="shared" ref="M91:M94" si="80">D91+L91</f>
        <v>33820000</v>
      </c>
      <c r="N91" s="620">
        <v>5088998.5599999996</v>
      </c>
      <c r="O91" s="425">
        <f>'Prog 1'!N91+'Prog 2'!N91+'Prog 3'!N91</f>
        <v>1567140</v>
      </c>
      <c r="P91" s="425">
        <f>'Prog 1'!O91+'Prog 2'!O91+'Prog 3'!O91</f>
        <v>1926138.0000000009</v>
      </c>
      <c r="Q91" s="508">
        <f>'Prog 1'!P91+'Prog 2'!P91+'Prog 3'!P91</f>
        <v>2721560.2299999986</v>
      </c>
      <c r="R91" s="526">
        <f t="shared" ref="R91:R94" si="81">N91+O91+P91+Q91</f>
        <v>11303836.789999999</v>
      </c>
      <c r="S91" s="578">
        <f t="shared" si="67"/>
        <v>0.33423526877587223</v>
      </c>
      <c r="T91" s="576">
        <f t="shared" si="68"/>
        <v>22516163.210000001</v>
      </c>
    </row>
    <row r="92" spans="1:20" s="8" customFormat="1" ht="28.8" x14ac:dyDescent="0.2">
      <c r="A92" s="435" t="s">
        <v>64</v>
      </c>
      <c r="B92" s="423" t="s">
        <v>379</v>
      </c>
      <c r="C92" s="424" t="s">
        <v>380</v>
      </c>
      <c r="D92" s="453">
        <f>+'Prog 1'!D92+'Prog 2'!D92+'Prog 3'!D92</f>
        <v>15700000</v>
      </c>
      <c r="E92" s="453">
        <f>+'Prog 1'!E92+'Prog 2'!E92+'Prog 3'!E92</f>
        <v>0</v>
      </c>
      <c r="F92" s="453">
        <f>+'Prog 1'!F92+'Prog 2'!F92+'Prog 3'!F92</f>
        <v>0</v>
      </c>
      <c r="G92" s="453">
        <v>0</v>
      </c>
      <c r="H92" s="453">
        <v>0</v>
      </c>
      <c r="I92" s="453">
        <v>0</v>
      </c>
      <c r="J92" s="453">
        <v>0</v>
      </c>
      <c r="K92" s="453">
        <v>0</v>
      </c>
      <c r="L92" s="453">
        <f t="shared" si="79"/>
        <v>0</v>
      </c>
      <c r="M92" s="508">
        <f t="shared" si="80"/>
        <v>15700000</v>
      </c>
      <c r="N92" s="620">
        <v>1000176.64</v>
      </c>
      <c r="O92" s="425">
        <f>'Prog 1'!N92+'Prog 2'!N92+'Prog 3'!N92</f>
        <v>1687027.9</v>
      </c>
      <c r="P92" s="425">
        <f>'Prog 1'!O92+'Prog 2'!O92+'Prog 3'!O92</f>
        <v>80512.5</v>
      </c>
      <c r="Q92" s="508">
        <f>'Prog 1'!P92+'Prog 2'!P92+'Prog 3'!P92</f>
        <v>1584814.2599999998</v>
      </c>
      <c r="R92" s="526">
        <f t="shared" si="81"/>
        <v>4352531.3</v>
      </c>
      <c r="S92" s="578">
        <f t="shared" si="67"/>
        <v>0.27723129299363058</v>
      </c>
      <c r="T92" s="576">
        <f t="shared" si="68"/>
        <v>11347468.699999999</v>
      </c>
    </row>
    <row r="93" spans="1:20" s="7" customFormat="1" ht="28.8" x14ac:dyDescent="0.2">
      <c r="A93" s="435" t="s">
        <v>64</v>
      </c>
      <c r="B93" s="423" t="s">
        <v>381</v>
      </c>
      <c r="C93" s="424" t="s">
        <v>90</v>
      </c>
      <c r="D93" s="453">
        <f>+'Prog 1'!D93+'Prog 2'!D93+'Prog 3'!D93</f>
        <v>7000000</v>
      </c>
      <c r="E93" s="453">
        <f>+'Prog 1'!E93+'Prog 2'!E93+'Prog 3'!E93</f>
        <v>0</v>
      </c>
      <c r="F93" s="453">
        <f>+'Prog 1'!F93+'Prog 2'!F93+'Prog 3'!F93</f>
        <v>0</v>
      </c>
      <c r="G93" s="453">
        <v>0</v>
      </c>
      <c r="H93" s="453">
        <v>0</v>
      </c>
      <c r="I93" s="453">
        <v>0</v>
      </c>
      <c r="J93" s="453">
        <v>0</v>
      </c>
      <c r="K93" s="453">
        <v>0</v>
      </c>
      <c r="L93" s="453">
        <f t="shared" si="79"/>
        <v>0</v>
      </c>
      <c r="M93" s="508">
        <f t="shared" si="80"/>
        <v>7000000</v>
      </c>
      <c r="N93" s="620">
        <v>4584496.78</v>
      </c>
      <c r="O93" s="425">
        <f>'Prog 1'!N93+'Prog 2'!N93+'Prog 3'!N93</f>
        <v>0</v>
      </c>
      <c r="P93" s="425">
        <f>'Prog 1'!O93+'Prog 2'!O93+'Prog 3'!O93</f>
        <v>180023.68999999948</v>
      </c>
      <c r="Q93" s="508">
        <f>'Prog 1'!P93+'Prog 2'!P93+'Prog 3'!P93</f>
        <v>0</v>
      </c>
      <c r="R93" s="526">
        <f t="shared" si="81"/>
        <v>4764520.47</v>
      </c>
      <c r="S93" s="578">
        <f t="shared" si="67"/>
        <v>0.68064578142857135</v>
      </c>
      <c r="T93" s="576">
        <f t="shared" si="68"/>
        <v>2235479.5300000003</v>
      </c>
    </row>
    <row r="94" spans="1:20" s="7" customFormat="1" ht="28.8" x14ac:dyDescent="0.2">
      <c r="A94" s="435" t="s">
        <v>64</v>
      </c>
      <c r="B94" s="423" t="s">
        <v>382</v>
      </c>
      <c r="C94" s="424" t="s">
        <v>91</v>
      </c>
      <c r="D94" s="453">
        <f>+'Prog 1'!D94+'Prog 2'!D94+'Prog 3'!D94</f>
        <v>5250000</v>
      </c>
      <c r="E94" s="453">
        <f>+'Prog 1'!E94+'Prog 2'!E94+'Prog 3'!E94</f>
        <v>0</v>
      </c>
      <c r="F94" s="453">
        <f>+'Prog 1'!F94+'Prog 2'!F94+'Prog 3'!F94</f>
        <v>0</v>
      </c>
      <c r="G94" s="453">
        <v>0</v>
      </c>
      <c r="H94" s="453">
        <v>0</v>
      </c>
      <c r="I94" s="453">
        <v>0</v>
      </c>
      <c r="J94" s="453">
        <v>0</v>
      </c>
      <c r="K94" s="453">
        <v>0</v>
      </c>
      <c r="L94" s="453">
        <f t="shared" si="79"/>
        <v>0</v>
      </c>
      <c r="M94" s="508">
        <f t="shared" si="80"/>
        <v>5250000</v>
      </c>
      <c r="N94" s="620">
        <v>187687.35</v>
      </c>
      <c r="O94" s="425">
        <f>'Prog 1'!N94+'Prog 2'!N94+'Prog 3'!N94</f>
        <v>95682.749999999971</v>
      </c>
      <c r="P94" s="425">
        <f>'Prog 1'!O94+'Prog 2'!O94+'Prog 3'!O94</f>
        <v>0</v>
      </c>
      <c r="Q94" s="508">
        <f>'Prog 1'!P94+'Prog 2'!P94+'Prog 3'!P94</f>
        <v>147549.75</v>
      </c>
      <c r="R94" s="526">
        <f t="shared" si="81"/>
        <v>430919.85</v>
      </c>
      <c r="S94" s="578">
        <f t="shared" si="67"/>
        <v>8.207997142857143E-2</v>
      </c>
      <c r="T94" s="576">
        <f t="shared" si="68"/>
        <v>4819080.1500000004</v>
      </c>
    </row>
    <row r="95" spans="1:20" s="7" customFormat="1" ht="28.8" x14ac:dyDescent="0.2">
      <c r="A95" s="432" t="s">
        <v>64</v>
      </c>
      <c r="B95" s="420" t="s">
        <v>383</v>
      </c>
      <c r="C95" s="654" t="s">
        <v>534</v>
      </c>
      <c r="D95" s="452">
        <f t="shared" ref="D95:R95" si="82">SUM(D96:D96)</f>
        <v>112000000</v>
      </c>
      <c r="E95" s="452">
        <f t="shared" si="82"/>
        <v>0</v>
      </c>
      <c r="F95" s="452">
        <f t="shared" si="82"/>
        <v>0</v>
      </c>
      <c r="G95" s="452">
        <f t="shared" si="82"/>
        <v>0</v>
      </c>
      <c r="H95" s="452">
        <f t="shared" si="82"/>
        <v>0</v>
      </c>
      <c r="I95" s="452">
        <f t="shared" si="82"/>
        <v>0</v>
      </c>
      <c r="J95" s="452">
        <f t="shared" si="82"/>
        <v>0</v>
      </c>
      <c r="K95" s="452">
        <f t="shared" si="82"/>
        <v>0</v>
      </c>
      <c r="L95" s="452">
        <f t="shared" si="82"/>
        <v>0</v>
      </c>
      <c r="M95" s="507">
        <f t="shared" si="82"/>
        <v>112000000</v>
      </c>
      <c r="N95" s="619">
        <v>7239304.8600000003</v>
      </c>
      <c r="O95" s="422">
        <f t="shared" si="82"/>
        <v>13293355.02</v>
      </c>
      <c r="P95" s="422">
        <f t="shared" si="82"/>
        <v>3548083.4499999993</v>
      </c>
      <c r="Q95" s="507">
        <f t="shared" si="82"/>
        <v>10699261.340000004</v>
      </c>
      <c r="R95" s="524">
        <f t="shared" si="82"/>
        <v>34780004.670000002</v>
      </c>
      <c r="S95" s="579">
        <f t="shared" si="67"/>
        <v>0.31053575598214289</v>
      </c>
      <c r="T95" s="575">
        <f t="shared" si="68"/>
        <v>77219995.329999998</v>
      </c>
    </row>
    <row r="96" spans="1:20" s="8" customFormat="1" ht="14.4" x14ac:dyDescent="0.2">
      <c r="A96" s="435" t="s">
        <v>64</v>
      </c>
      <c r="B96" s="423" t="s">
        <v>385</v>
      </c>
      <c r="C96" s="424" t="s">
        <v>92</v>
      </c>
      <c r="D96" s="453">
        <f>+'Prog 1'!D96+'Prog 2'!D96+'Prog 3'!D96</f>
        <v>112000000</v>
      </c>
      <c r="E96" s="453">
        <f>+'Prog 1'!E96+'Prog 2'!E96+'Prog 3'!E96</f>
        <v>0</v>
      </c>
      <c r="F96" s="453">
        <f>+'Prog 1'!F96+'Prog 2'!F96+'Prog 3'!F96</f>
        <v>0</v>
      </c>
      <c r="G96" s="453">
        <v>0</v>
      </c>
      <c r="H96" s="453">
        <v>0</v>
      </c>
      <c r="I96" s="453">
        <v>0</v>
      </c>
      <c r="J96" s="453">
        <v>0</v>
      </c>
      <c r="K96" s="453">
        <v>0</v>
      </c>
      <c r="L96" s="453">
        <f>SUM(E96:K96)</f>
        <v>0</v>
      </c>
      <c r="M96" s="508">
        <f>D96+L96</f>
        <v>112000000</v>
      </c>
      <c r="N96" s="620">
        <v>7239304.8600000003</v>
      </c>
      <c r="O96" s="425">
        <f>'Prog 1'!N96+'Prog 2'!N96+'Prog 3'!N96</f>
        <v>13293355.02</v>
      </c>
      <c r="P96" s="425">
        <f>'Prog 1'!O96+'Prog 2'!O96+'Prog 3'!O96</f>
        <v>3548083.4499999993</v>
      </c>
      <c r="Q96" s="508">
        <f>'Prog 1'!P96+'Prog 2'!P96+'Prog 3'!P96</f>
        <v>10699261.340000004</v>
      </c>
      <c r="R96" s="526">
        <f>N96+O96+P96+Q96</f>
        <v>34780004.670000002</v>
      </c>
      <c r="S96" s="578">
        <f t="shared" si="67"/>
        <v>0.31053575598214289</v>
      </c>
      <c r="T96" s="576">
        <f t="shared" si="68"/>
        <v>77219995.329999998</v>
      </c>
    </row>
    <row r="97" spans="1:20" s="8" customFormat="1" ht="28.8" x14ac:dyDescent="0.2">
      <c r="A97" s="432" t="s">
        <v>64</v>
      </c>
      <c r="B97" s="420" t="s">
        <v>386</v>
      </c>
      <c r="C97" s="654" t="s">
        <v>476</v>
      </c>
      <c r="D97" s="452">
        <f t="shared" ref="D97:R97" si="83">SUM(D98:D103)</f>
        <v>5745000</v>
      </c>
      <c r="E97" s="452">
        <f t="shared" si="83"/>
        <v>0</v>
      </c>
      <c r="F97" s="452">
        <f t="shared" ref="F97" si="84">SUM(F98:F103)</f>
        <v>0</v>
      </c>
      <c r="G97" s="452">
        <f t="shared" si="83"/>
        <v>0</v>
      </c>
      <c r="H97" s="452">
        <f t="shared" si="83"/>
        <v>0</v>
      </c>
      <c r="I97" s="452">
        <f t="shared" si="83"/>
        <v>0</v>
      </c>
      <c r="J97" s="452">
        <f t="shared" si="83"/>
        <v>0</v>
      </c>
      <c r="K97" s="452">
        <f t="shared" si="83"/>
        <v>0</v>
      </c>
      <c r="L97" s="452">
        <f t="shared" si="83"/>
        <v>0</v>
      </c>
      <c r="M97" s="507">
        <f t="shared" si="83"/>
        <v>5745000</v>
      </c>
      <c r="N97" s="619">
        <v>34126</v>
      </c>
      <c r="O97" s="422">
        <f t="shared" si="83"/>
        <v>40623.5</v>
      </c>
      <c r="P97" s="422">
        <f t="shared" si="83"/>
        <v>67199.8</v>
      </c>
      <c r="Q97" s="507">
        <f t="shared" si="83"/>
        <v>371357.71</v>
      </c>
      <c r="R97" s="524">
        <f t="shared" si="83"/>
        <v>513307.01</v>
      </c>
      <c r="S97" s="579">
        <f t="shared" si="67"/>
        <v>8.9348478677110529E-2</v>
      </c>
      <c r="T97" s="575">
        <f t="shared" si="68"/>
        <v>5231692.99</v>
      </c>
    </row>
    <row r="98" spans="1:20" s="8" customFormat="1" ht="28.8" x14ac:dyDescent="0.2">
      <c r="A98" s="435" t="s">
        <v>64</v>
      </c>
      <c r="B98" s="423" t="s">
        <v>387</v>
      </c>
      <c r="C98" s="424" t="s">
        <v>93</v>
      </c>
      <c r="D98" s="453">
        <f>+'Prog 1'!D98+'Prog 2'!D98+'Prog 3'!D98</f>
        <v>950000</v>
      </c>
      <c r="E98" s="453">
        <f>+'Prog 1'!E98+'Prog 2'!E98+'Prog 3'!E98</f>
        <v>0</v>
      </c>
      <c r="F98" s="453">
        <f>+'Prog 1'!F98+'Prog 2'!F98+'Prog 3'!F98</f>
        <v>0</v>
      </c>
      <c r="G98" s="453">
        <v>0</v>
      </c>
      <c r="H98" s="453">
        <v>0</v>
      </c>
      <c r="I98" s="453">
        <v>0</v>
      </c>
      <c r="J98" s="453">
        <v>0</v>
      </c>
      <c r="K98" s="453">
        <v>0</v>
      </c>
      <c r="L98" s="453">
        <f t="shared" ref="L98:L103" si="85">SUM(E98:K98)</f>
        <v>0</v>
      </c>
      <c r="M98" s="508">
        <f t="shared" ref="M98:M103" si="86">D98+L98</f>
        <v>950000</v>
      </c>
      <c r="N98" s="620">
        <v>0</v>
      </c>
      <c r="O98" s="425">
        <f>'Prog 1'!N98+'Prog 2'!N98+'Prog 3'!N98</f>
        <v>25707.5</v>
      </c>
      <c r="P98" s="425">
        <f>'Prog 1'!O98+'Prog 2'!O98+'Prog 3'!O98</f>
        <v>23920</v>
      </c>
      <c r="Q98" s="508">
        <f>'Prog 1'!P98+'Prog 2'!P98+'Prog 3'!P98</f>
        <v>9749.0800000000017</v>
      </c>
      <c r="R98" s="526">
        <f t="shared" ref="R98:R103" si="87">N98+O98+P98+Q98</f>
        <v>59376.58</v>
      </c>
      <c r="S98" s="578">
        <f t="shared" si="67"/>
        <v>6.2501663157894738E-2</v>
      </c>
      <c r="T98" s="576">
        <f t="shared" si="68"/>
        <v>890623.42</v>
      </c>
    </row>
    <row r="99" spans="1:20" s="7" customFormat="1" ht="14.4" x14ac:dyDescent="0.2">
      <c r="A99" s="435" t="s">
        <v>64</v>
      </c>
      <c r="B99" s="423" t="s">
        <v>388</v>
      </c>
      <c r="C99" s="424" t="s">
        <v>94</v>
      </c>
      <c r="D99" s="453">
        <f>+'Prog 1'!D99+'Prog 2'!D99+'Prog 3'!D99</f>
        <v>150000</v>
      </c>
      <c r="E99" s="453">
        <f>+'Prog 1'!E99+'Prog 2'!E99+'Prog 3'!E99</f>
        <v>0</v>
      </c>
      <c r="F99" s="453">
        <f>+'Prog 1'!F99+'Prog 2'!F99+'Prog 3'!F99</f>
        <v>0</v>
      </c>
      <c r="G99" s="453">
        <v>0</v>
      </c>
      <c r="H99" s="453">
        <v>0</v>
      </c>
      <c r="I99" s="453">
        <v>0</v>
      </c>
      <c r="J99" s="453">
        <v>0</v>
      </c>
      <c r="K99" s="453">
        <v>0</v>
      </c>
      <c r="L99" s="453">
        <f t="shared" si="85"/>
        <v>0</v>
      </c>
      <c r="M99" s="508">
        <f t="shared" si="86"/>
        <v>150000</v>
      </c>
      <c r="N99" s="620">
        <v>0</v>
      </c>
      <c r="O99" s="425">
        <f>'Prog 1'!N99+'Prog 2'!N99+'Prog 3'!N99</f>
        <v>0</v>
      </c>
      <c r="P99" s="425">
        <f>'Prog 1'!O99+'Prog 2'!O99+'Prog 3'!O99</f>
        <v>23550</v>
      </c>
      <c r="Q99" s="508">
        <f>'Prog 1'!P99+'Prog 2'!P99+'Prog 3'!P99</f>
        <v>0</v>
      </c>
      <c r="R99" s="526">
        <f t="shared" si="87"/>
        <v>23550</v>
      </c>
      <c r="S99" s="578">
        <f t="shared" si="67"/>
        <v>0.157</v>
      </c>
      <c r="T99" s="576">
        <f t="shared" si="68"/>
        <v>126450</v>
      </c>
    </row>
    <row r="100" spans="1:20" s="7" customFormat="1" ht="28.8" x14ac:dyDescent="0.2">
      <c r="A100" s="435" t="s">
        <v>64</v>
      </c>
      <c r="B100" s="423" t="s">
        <v>389</v>
      </c>
      <c r="C100" s="424" t="s">
        <v>535</v>
      </c>
      <c r="D100" s="453">
        <f>+'Prog 1'!D100+'Prog 2'!D100+'Prog 3'!D100</f>
        <v>3810000</v>
      </c>
      <c r="E100" s="453">
        <f>+'Prog 1'!E100+'Prog 2'!E100+'Prog 3'!E100</f>
        <v>0</v>
      </c>
      <c r="F100" s="453">
        <f>+'Prog 1'!F100+'Prog 2'!F100+'Prog 3'!F100</f>
        <v>0</v>
      </c>
      <c r="G100" s="453">
        <v>0</v>
      </c>
      <c r="H100" s="453">
        <v>0</v>
      </c>
      <c r="I100" s="453">
        <v>0</v>
      </c>
      <c r="J100" s="453">
        <v>0</v>
      </c>
      <c r="K100" s="453">
        <v>0</v>
      </c>
      <c r="L100" s="453">
        <f t="shared" si="85"/>
        <v>0</v>
      </c>
      <c r="M100" s="508">
        <f t="shared" si="86"/>
        <v>3810000</v>
      </c>
      <c r="N100" s="620">
        <v>14916</v>
      </c>
      <c r="O100" s="425">
        <f>'Prog 1'!N100+'Prog 2'!N100+'Prog 3'!N100</f>
        <v>14916</v>
      </c>
      <c r="P100" s="425">
        <f>'Prog 1'!O100+'Prog 2'!O100+'Prog 3'!O100</f>
        <v>19729.8</v>
      </c>
      <c r="Q100" s="508">
        <f>'Prog 1'!P100+'Prog 2'!P100+'Prog 3'!P100</f>
        <v>323608.64</v>
      </c>
      <c r="R100" s="526">
        <f t="shared" si="87"/>
        <v>373170.44</v>
      </c>
      <c r="S100" s="578">
        <f t="shared" si="67"/>
        <v>9.794499737532808E-2</v>
      </c>
      <c r="T100" s="576">
        <f t="shared" si="68"/>
        <v>3436829.56</v>
      </c>
    </row>
    <row r="101" spans="1:20" s="7" customFormat="1" ht="28.8" x14ac:dyDescent="0.2">
      <c r="A101" s="435" t="s">
        <v>64</v>
      </c>
      <c r="B101" s="423" t="s">
        <v>390</v>
      </c>
      <c r="C101" s="424" t="s">
        <v>95</v>
      </c>
      <c r="D101" s="453">
        <f>+'Prog 1'!D101+'Prog 2'!D101+'Prog 3'!D101</f>
        <v>100000</v>
      </c>
      <c r="E101" s="453">
        <f>+'Prog 1'!E101+'Prog 2'!E101+'Prog 3'!E101</f>
        <v>0</v>
      </c>
      <c r="F101" s="453">
        <f>+'Prog 1'!F101+'Prog 2'!F101+'Prog 3'!F101</f>
        <v>0</v>
      </c>
      <c r="G101" s="453">
        <v>0</v>
      </c>
      <c r="H101" s="453">
        <v>0</v>
      </c>
      <c r="I101" s="453">
        <v>0</v>
      </c>
      <c r="J101" s="453">
        <v>0</v>
      </c>
      <c r="K101" s="453">
        <v>0</v>
      </c>
      <c r="L101" s="453">
        <f t="shared" si="85"/>
        <v>0</v>
      </c>
      <c r="M101" s="508">
        <f t="shared" si="86"/>
        <v>100000</v>
      </c>
      <c r="N101" s="620">
        <v>0</v>
      </c>
      <c r="O101" s="425">
        <f>'Prog 1'!N101+'Prog 2'!N101+'Prog 3'!N101</f>
        <v>0</v>
      </c>
      <c r="P101" s="425">
        <f>'Prog 1'!O101+'Prog 2'!O101+'Prog 3'!O101</f>
        <v>0</v>
      </c>
      <c r="Q101" s="508">
        <f>'Prog 1'!P101+'Prog 2'!P101+'Prog 3'!P101</f>
        <v>0</v>
      </c>
      <c r="R101" s="526">
        <f t="shared" si="87"/>
        <v>0</v>
      </c>
      <c r="S101" s="578">
        <f t="shared" si="67"/>
        <v>0</v>
      </c>
      <c r="T101" s="576">
        <f t="shared" si="68"/>
        <v>100000</v>
      </c>
    </row>
    <row r="102" spans="1:20" s="7" customFormat="1" ht="28.8" x14ac:dyDescent="0.2">
      <c r="A102" s="435" t="s">
        <v>64</v>
      </c>
      <c r="B102" s="423" t="s">
        <v>391</v>
      </c>
      <c r="C102" s="424" t="s">
        <v>96</v>
      </c>
      <c r="D102" s="453">
        <f>+'Prog 1'!D102+'Prog 2'!D102+'Prog 3'!D102</f>
        <v>535000</v>
      </c>
      <c r="E102" s="453">
        <f>+'Prog 1'!E102+'Prog 2'!E102+'Prog 3'!E102</f>
        <v>0</v>
      </c>
      <c r="F102" s="453">
        <f>+'Prog 1'!F102+'Prog 2'!F102+'Prog 3'!F102</f>
        <v>0</v>
      </c>
      <c r="G102" s="453">
        <v>0</v>
      </c>
      <c r="H102" s="453">
        <v>0</v>
      </c>
      <c r="I102" s="453">
        <v>0</v>
      </c>
      <c r="J102" s="453">
        <v>0</v>
      </c>
      <c r="K102" s="453">
        <v>0</v>
      </c>
      <c r="L102" s="453">
        <f t="shared" si="85"/>
        <v>0</v>
      </c>
      <c r="M102" s="508">
        <f t="shared" si="86"/>
        <v>535000</v>
      </c>
      <c r="N102" s="620">
        <v>19210</v>
      </c>
      <c r="O102" s="425">
        <f>'Prog 1'!N102+'Prog 2'!N102+'Prog 3'!N102</f>
        <v>0</v>
      </c>
      <c r="P102" s="425">
        <f>'Prog 1'!O102+'Prog 2'!O102+'Prog 3'!O102</f>
        <v>0</v>
      </c>
      <c r="Q102" s="508">
        <f>'Prog 1'!P102+'Prog 2'!P102+'Prog 3'!P102</f>
        <v>37999.99</v>
      </c>
      <c r="R102" s="526">
        <f t="shared" si="87"/>
        <v>57209.99</v>
      </c>
      <c r="S102" s="578">
        <f t="shared" si="67"/>
        <v>0.10693456074766355</v>
      </c>
      <c r="T102" s="576">
        <f t="shared" si="68"/>
        <v>477790.01</v>
      </c>
    </row>
    <row r="103" spans="1:20" s="8" customFormat="1" ht="28.8" x14ac:dyDescent="0.2">
      <c r="A103" s="435" t="s">
        <v>64</v>
      </c>
      <c r="B103" s="423" t="s">
        <v>392</v>
      </c>
      <c r="C103" s="424" t="s">
        <v>536</v>
      </c>
      <c r="D103" s="453">
        <f>+'Prog 1'!D103+'Prog 2'!D103+'Prog 3'!D103</f>
        <v>200000</v>
      </c>
      <c r="E103" s="453">
        <f>+'Prog 1'!E103+'Prog 2'!E103+'Prog 3'!E103</f>
        <v>0</v>
      </c>
      <c r="F103" s="453">
        <f>+'Prog 1'!F103+'Prog 2'!F103+'Prog 3'!F103</f>
        <v>0</v>
      </c>
      <c r="G103" s="453">
        <v>0</v>
      </c>
      <c r="H103" s="453">
        <v>0</v>
      </c>
      <c r="I103" s="453">
        <v>0</v>
      </c>
      <c r="J103" s="453">
        <v>0</v>
      </c>
      <c r="K103" s="453">
        <v>0</v>
      </c>
      <c r="L103" s="453">
        <f t="shared" si="85"/>
        <v>0</v>
      </c>
      <c r="M103" s="508">
        <f t="shared" si="86"/>
        <v>200000</v>
      </c>
      <c r="N103" s="620">
        <v>0</v>
      </c>
      <c r="O103" s="425">
        <f>'Prog 1'!N103+'Prog 2'!N103+'Prog 3'!N103</f>
        <v>0</v>
      </c>
      <c r="P103" s="425">
        <f>'Prog 1'!O103+'Prog 2'!O103+'Prog 3'!O103</f>
        <v>0</v>
      </c>
      <c r="Q103" s="508">
        <f>'Prog 1'!P103+'Prog 2'!P103+'Prog 3'!P103</f>
        <v>0</v>
      </c>
      <c r="R103" s="526">
        <f t="shared" si="87"/>
        <v>0</v>
      </c>
      <c r="S103" s="578">
        <f t="shared" si="67"/>
        <v>0</v>
      </c>
      <c r="T103" s="576">
        <f t="shared" si="68"/>
        <v>200000</v>
      </c>
    </row>
    <row r="104" spans="1:20" s="7" customFormat="1" ht="28.8" x14ac:dyDescent="0.2">
      <c r="A104" s="432" t="s">
        <v>64</v>
      </c>
      <c r="B104" s="420" t="s">
        <v>393</v>
      </c>
      <c r="C104" s="654" t="s">
        <v>477</v>
      </c>
      <c r="D104" s="452">
        <f t="shared" ref="D104:R104" si="88">SUM(D105:D106)</f>
        <v>5200000</v>
      </c>
      <c r="E104" s="452">
        <f t="shared" si="88"/>
        <v>0</v>
      </c>
      <c r="F104" s="452">
        <f t="shared" ref="F104" si="89">SUM(F105:F106)</f>
        <v>0</v>
      </c>
      <c r="G104" s="452">
        <f t="shared" si="88"/>
        <v>0</v>
      </c>
      <c r="H104" s="452">
        <f t="shared" si="88"/>
        <v>0</v>
      </c>
      <c r="I104" s="452">
        <f t="shared" si="88"/>
        <v>0</v>
      </c>
      <c r="J104" s="452">
        <f t="shared" si="88"/>
        <v>0</v>
      </c>
      <c r="K104" s="452">
        <f t="shared" si="88"/>
        <v>0</v>
      </c>
      <c r="L104" s="452">
        <f t="shared" si="88"/>
        <v>0</v>
      </c>
      <c r="M104" s="507">
        <f t="shared" si="88"/>
        <v>5200000</v>
      </c>
      <c r="N104" s="619">
        <v>207157.25</v>
      </c>
      <c r="O104" s="422">
        <f t="shared" si="88"/>
        <v>111638.34999999998</v>
      </c>
      <c r="P104" s="422">
        <f t="shared" si="88"/>
        <v>27967.5</v>
      </c>
      <c r="Q104" s="507">
        <f t="shared" si="88"/>
        <v>506900.51000000007</v>
      </c>
      <c r="R104" s="524">
        <f t="shared" si="88"/>
        <v>853663.6100000001</v>
      </c>
      <c r="S104" s="579">
        <f t="shared" si="67"/>
        <v>0.16416607884615386</v>
      </c>
      <c r="T104" s="575">
        <f t="shared" si="68"/>
        <v>4346336.3899999997</v>
      </c>
    </row>
    <row r="105" spans="1:20" s="8" customFormat="1" ht="28.8" x14ac:dyDescent="0.2">
      <c r="A105" s="435" t="s">
        <v>64</v>
      </c>
      <c r="B105" s="423" t="s">
        <v>395</v>
      </c>
      <c r="C105" s="424" t="s">
        <v>97</v>
      </c>
      <c r="D105" s="453">
        <f>+'Prog 1'!D105+'Prog 2'!D105+'Prog 3'!D105</f>
        <v>3700000</v>
      </c>
      <c r="E105" s="453">
        <f>+'Prog 1'!E105+'Prog 2'!E105+'Prog 3'!E105</f>
        <v>0</v>
      </c>
      <c r="F105" s="453">
        <f>+'Prog 1'!F105+'Prog 2'!F105+'Prog 3'!F105</f>
        <v>0</v>
      </c>
      <c r="G105" s="453">
        <v>0</v>
      </c>
      <c r="H105" s="453">
        <v>0</v>
      </c>
      <c r="I105" s="453">
        <v>0</v>
      </c>
      <c r="J105" s="453">
        <v>0</v>
      </c>
      <c r="K105" s="453">
        <v>0</v>
      </c>
      <c r="L105" s="453">
        <f t="shared" ref="L105:L106" si="90">SUM(E105:K105)</f>
        <v>0</v>
      </c>
      <c r="M105" s="508">
        <f t="shared" ref="M105:M106" si="91">D105+L105</f>
        <v>3700000</v>
      </c>
      <c r="N105" s="620">
        <v>207157.25</v>
      </c>
      <c r="O105" s="425">
        <f>'Prog 1'!N105+'Prog 2'!N105+'Prog 3'!N105</f>
        <v>111638.34999999998</v>
      </c>
      <c r="P105" s="425">
        <f>'Prog 1'!O105+'Prog 2'!O105+'Prog 3'!O105</f>
        <v>27967.5</v>
      </c>
      <c r="Q105" s="508">
        <f>'Prog 1'!P105+'Prog 2'!P105+'Prog 3'!P105</f>
        <v>506900.51000000007</v>
      </c>
      <c r="R105" s="526">
        <f t="shared" ref="R105:R106" si="92">N105+O105+P105+Q105</f>
        <v>853663.6100000001</v>
      </c>
      <c r="S105" s="578">
        <f t="shared" si="67"/>
        <v>0.23071989459459463</v>
      </c>
      <c r="T105" s="576">
        <f t="shared" si="68"/>
        <v>2846336.3899999997</v>
      </c>
    </row>
    <row r="106" spans="1:20" s="7" customFormat="1" ht="14.4" x14ac:dyDescent="0.2">
      <c r="A106" s="435" t="s">
        <v>64</v>
      </c>
      <c r="B106" s="423" t="s">
        <v>396</v>
      </c>
      <c r="C106" s="424" t="s">
        <v>98</v>
      </c>
      <c r="D106" s="453">
        <f>+'Prog 1'!D106+'Prog 2'!D106+'Prog 3'!D106</f>
        <v>1500000</v>
      </c>
      <c r="E106" s="453">
        <f>+'Prog 1'!E106+'Prog 2'!E106+'Prog 3'!E106</f>
        <v>0</v>
      </c>
      <c r="F106" s="453">
        <f>+'Prog 1'!F106+'Prog 2'!F106+'Prog 3'!F106</f>
        <v>0</v>
      </c>
      <c r="G106" s="453">
        <v>0</v>
      </c>
      <c r="H106" s="453">
        <v>0</v>
      </c>
      <c r="I106" s="453">
        <v>0</v>
      </c>
      <c r="J106" s="453">
        <v>0</v>
      </c>
      <c r="K106" s="453">
        <v>0</v>
      </c>
      <c r="L106" s="453">
        <f t="shared" si="90"/>
        <v>0</v>
      </c>
      <c r="M106" s="508">
        <f t="shared" si="91"/>
        <v>1500000</v>
      </c>
      <c r="N106" s="620">
        <v>0</v>
      </c>
      <c r="O106" s="425">
        <f>'Prog 1'!N106+'Prog 2'!N106+'Prog 3'!N106</f>
        <v>0</v>
      </c>
      <c r="P106" s="425">
        <f>'Prog 1'!O106+'Prog 2'!O106+'Prog 3'!O106</f>
        <v>0</v>
      </c>
      <c r="Q106" s="508">
        <f>'Prog 1'!P106+'Prog 2'!P106+'Prog 3'!P106</f>
        <v>0</v>
      </c>
      <c r="R106" s="526">
        <f t="shared" si="92"/>
        <v>0</v>
      </c>
      <c r="S106" s="578">
        <f t="shared" si="67"/>
        <v>0</v>
      </c>
      <c r="T106" s="576">
        <f t="shared" si="68"/>
        <v>1500000</v>
      </c>
    </row>
    <row r="107" spans="1:20" s="7" customFormat="1" ht="28.8" x14ac:dyDescent="0.2">
      <c r="A107" s="432" t="s">
        <v>64</v>
      </c>
      <c r="B107" s="430">
        <v>299</v>
      </c>
      <c r="C107" s="654" t="s">
        <v>557</v>
      </c>
      <c r="D107" s="452">
        <f t="shared" ref="D107:R107" si="93">SUM(D108:D115)</f>
        <v>116600000</v>
      </c>
      <c r="E107" s="452">
        <f t="shared" si="93"/>
        <v>0</v>
      </c>
      <c r="F107" s="452">
        <f t="shared" ref="F107" si="94">SUM(F108:F115)</f>
        <v>8200000</v>
      </c>
      <c r="G107" s="452">
        <f t="shared" si="93"/>
        <v>0</v>
      </c>
      <c r="H107" s="452">
        <f t="shared" si="93"/>
        <v>0</v>
      </c>
      <c r="I107" s="452">
        <f t="shared" si="93"/>
        <v>0</v>
      </c>
      <c r="J107" s="452">
        <f t="shared" si="93"/>
        <v>0</v>
      </c>
      <c r="K107" s="452">
        <f t="shared" si="93"/>
        <v>0</v>
      </c>
      <c r="L107" s="452">
        <f t="shared" si="93"/>
        <v>8200000</v>
      </c>
      <c r="M107" s="507">
        <f t="shared" si="93"/>
        <v>124800000</v>
      </c>
      <c r="N107" s="619">
        <v>9646552.4200000018</v>
      </c>
      <c r="O107" s="422">
        <f t="shared" si="93"/>
        <v>17217783.48</v>
      </c>
      <c r="P107" s="422">
        <f t="shared" si="93"/>
        <v>11910140.66</v>
      </c>
      <c r="Q107" s="507">
        <f t="shared" si="93"/>
        <v>11617322.590000002</v>
      </c>
      <c r="R107" s="524">
        <f t="shared" si="93"/>
        <v>50391799.150000006</v>
      </c>
      <c r="S107" s="579">
        <f t="shared" si="67"/>
        <v>0.40378044190705131</v>
      </c>
      <c r="T107" s="575">
        <f t="shared" si="68"/>
        <v>74408200.849999994</v>
      </c>
    </row>
    <row r="108" spans="1:20" s="7" customFormat="1" ht="28.8" x14ac:dyDescent="0.2">
      <c r="A108" s="435" t="s">
        <v>64</v>
      </c>
      <c r="B108" s="423" t="s">
        <v>397</v>
      </c>
      <c r="C108" s="424" t="s">
        <v>539</v>
      </c>
      <c r="D108" s="453">
        <f>+'Prog 1'!D108+'Prog 2'!D108+'Prog 3'!D108</f>
        <v>7500000</v>
      </c>
      <c r="E108" s="453">
        <f>+'Prog 1'!E108+'Prog 2'!E108+'Prog 3'!E108</f>
        <v>0</v>
      </c>
      <c r="F108" s="453">
        <f>+'Prog 1'!F108+'Prog 2'!F108+'Prog 3'!F108</f>
        <v>1000000</v>
      </c>
      <c r="G108" s="453">
        <v>0</v>
      </c>
      <c r="H108" s="453">
        <v>0</v>
      </c>
      <c r="I108" s="453">
        <v>0</v>
      </c>
      <c r="J108" s="453">
        <v>0</v>
      </c>
      <c r="K108" s="453">
        <v>0</v>
      </c>
      <c r="L108" s="453">
        <f t="shared" ref="L108:L115" si="95">SUM(E108:K108)</f>
        <v>1000000</v>
      </c>
      <c r="M108" s="508">
        <f t="shared" ref="M108:M115" si="96">D108+L108</f>
        <v>8500000</v>
      </c>
      <c r="N108" s="620">
        <v>771438.88</v>
      </c>
      <c r="O108" s="425">
        <f>'Prog 1'!N108+'Prog 2'!N108+'Prog 3'!N108</f>
        <v>806986.66</v>
      </c>
      <c r="P108" s="425">
        <f>'Prog 1'!O108+'Prog 2'!O108+'Prog 3'!O108</f>
        <v>18588.5</v>
      </c>
      <c r="Q108" s="508">
        <f>'Prog 1'!P108+'Prog 2'!P108+'Prog 3'!P108</f>
        <v>1231610.0999999999</v>
      </c>
      <c r="R108" s="526">
        <f t="shared" ref="R108:R115" si="97">N108+O108+P108+Q108</f>
        <v>2828624.1399999997</v>
      </c>
      <c r="S108" s="578">
        <f t="shared" si="67"/>
        <v>0.33277931058823523</v>
      </c>
      <c r="T108" s="576">
        <f t="shared" si="68"/>
        <v>5671375.8600000003</v>
      </c>
    </row>
    <row r="109" spans="1:20" s="7" customFormat="1" ht="28.8" x14ac:dyDescent="0.2">
      <c r="A109" s="435" t="s">
        <v>64</v>
      </c>
      <c r="B109" s="423" t="s">
        <v>398</v>
      </c>
      <c r="C109" s="424" t="s">
        <v>537</v>
      </c>
      <c r="D109" s="453">
        <f>+'Prog 1'!D109+'Prog 2'!D109+'Prog 3'!D109</f>
        <v>6000000</v>
      </c>
      <c r="E109" s="453">
        <f>+'Prog 1'!E109+'Prog 2'!E109+'Prog 3'!E109</f>
        <v>0</v>
      </c>
      <c r="F109" s="453">
        <f>+'Prog 1'!F109+'Prog 2'!F109+'Prog 3'!F109</f>
        <v>0</v>
      </c>
      <c r="G109" s="453">
        <v>0</v>
      </c>
      <c r="H109" s="453">
        <v>0</v>
      </c>
      <c r="I109" s="453">
        <v>0</v>
      </c>
      <c r="J109" s="453">
        <v>0</v>
      </c>
      <c r="K109" s="453">
        <v>0</v>
      </c>
      <c r="L109" s="453">
        <f t="shared" si="95"/>
        <v>0</v>
      </c>
      <c r="M109" s="508">
        <f t="shared" si="96"/>
        <v>6000000</v>
      </c>
      <c r="N109" s="620">
        <v>0</v>
      </c>
      <c r="O109" s="425">
        <f>'Prog 1'!N109+'Prog 2'!N109+'Prog 3'!N109</f>
        <v>0</v>
      </c>
      <c r="P109" s="425">
        <f>'Prog 1'!O109+'Prog 2'!O109+'Prog 3'!O109</f>
        <v>0</v>
      </c>
      <c r="Q109" s="508">
        <f>'Prog 1'!P109+'Prog 2'!P109+'Prog 3'!P109</f>
        <v>0</v>
      </c>
      <c r="R109" s="526">
        <f t="shared" si="97"/>
        <v>0</v>
      </c>
      <c r="S109" s="578">
        <f t="shared" si="67"/>
        <v>0</v>
      </c>
      <c r="T109" s="576">
        <f t="shared" si="68"/>
        <v>6000000</v>
      </c>
    </row>
    <row r="110" spans="1:20" s="7" customFormat="1" ht="28.8" x14ac:dyDescent="0.2">
      <c r="A110" s="435" t="s">
        <v>64</v>
      </c>
      <c r="B110" s="423" t="s">
        <v>399</v>
      </c>
      <c r="C110" s="424" t="s">
        <v>100</v>
      </c>
      <c r="D110" s="453">
        <f>+'Prog 1'!D110+'Prog 2'!D110+'Prog 3'!D110</f>
        <v>19550000</v>
      </c>
      <c r="E110" s="453">
        <f>+'Prog 1'!E110+'Prog 2'!E110+'Prog 3'!E110</f>
        <v>0</v>
      </c>
      <c r="F110" s="453">
        <f>+'Prog 1'!F110+'Prog 2'!F110+'Prog 3'!F110</f>
        <v>7000000</v>
      </c>
      <c r="G110" s="453">
        <v>0</v>
      </c>
      <c r="H110" s="453">
        <v>0</v>
      </c>
      <c r="I110" s="453">
        <v>0</v>
      </c>
      <c r="J110" s="453">
        <v>0</v>
      </c>
      <c r="K110" s="453">
        <v>0</v>
      </c>
      <c r="L110" s="453">
        <f t="shared" si="95"/>
        <v>7000000</v>
      </c>
      <c r="M110" s="508">
        <f t="shared" si="96"/>
        <v>26550000</v>
      </c>
      <c r="N110" s="620">
        <v>3521399.79</v>
      </c>
      <c r="O110" s="425">
        <f>'Prog 1'!N110+'Prog 2'!N110+'Prog 3'!N110</f>
        <v>439738.53</v>
      </c>
      <c r="P110" s="425">
        <f>'Prog 1'!O110+'Prog 2'!O110+'Prog 3'!O110</f>
        <v>191216.05999999982</v>
      </c>
      <c r="Q110" s="508">
        <f>'Prog 1'!P110+'Prog 2'!P110+'Prog 3'!P110</f>
        <v>2728144.5</v>
      </c>
      <c r="R110" s="526">
        <f t="shared" si="97"/>
        <v>6880498.8799999999</v>
      </c>
      <c r="S110" s="578">
        <f t="shared" si="67"/>
        <v>0.25915250018832392</v>
      </c>
      <c r="T110" s="576">
        <f t="shared" si="68"/>
        <v>19669501.120000001</v>
      </c>
    </row>
    <row r="111" spans="1:20" s="7" customFormat="1" ht="14.4" x14ac:dyDescent="0.2">
      <c r="A111" s="435" t="s">
        <v>64</v>
      </c>
      <c r="B111" s="423" t="s">
        <v>400</v>
      </c>
      <c r="C111" s="424" t="s">
        <v>101</v>
      </c>
      <c r="D111" s="453">
        <f>+'Prog 1'!D111+'Prog 2'!D111+'Prog 3'!D111</f>
        <v>46800000</v>
      </c>
      <c r="E111" s="453">
        <f>+'Prog 1'!E111+'Prog 2'!E111+'Prog 3'!E111</f>
        <v>0</v>
      </c>
      <c r="F111" s="453">
        <f>+'Prog 1'!F111+'Prog 2'!F111+'Prog 3'!F111</f>
        <v>200000</v>
      </c>
      <c r="G111" s="453">
        <v>0</v>
      </c>
      <c r="H111" s="453">
        <v>0</v>
      </c>
      <c r="I111" s="453">
        <v>0</v>
      </c>
      <c r="J111" s="453">
        <v>0</v>
      </c>
      <c r="K111" s="453">
        <v>0</v>
      </c>
      <c r="L111" s="453">
        <f t="shared" si="95"/>
        <v>200000</v>
      </c>
      <c r="M111" s="508">
        <f t="shared" si="96"/>
        <v>47000000</v>
      </c>
      <c r="N111" s="620">
        <v>2929392</v>
      </c>
      <c r="O111" s="425">
        <f>'Prog 1'!N111+'Prog 2'!N111+'Prog 3'!N111</f>
        <v>13775599.99</v>
      </c>
      <c r="P111" s="425">
        <f>'Prog 1'!O111+'Prog 2'!O111+'Prog 3'!O111</f>
        <v>11292462.899999999</v>
      </c>
      <c r="Q111" s="508">
        <f>'Prog 1'!P111+'Prog 2'!P111+'Prog 3'!P111</f>
        <v>2715286.7700000033</v>
      </c>
      <c r="R111" s="526">
        <f t="shared" si="97"/>
        <v>30712741.660000004</v>
      </c>
      <c r="S111" s="578">
        <f t="shared" si="67"/>
        <v>0.65346258851063843</v>
      </c>
      <c r="T111" s="576">
        <f t="shared" si="68"/>
        <v>16287258.339999996</v>
      </c>
    </row>
    <row r="112" spans="1:20" s="8" customFormat="1" ht="14.4" x14ac:dyDescent="0.2">
      <c r="A112" s="435" t="s">
        <v>64</v>
      </c>
      <c r="B112" s="423" t="s">
        <v>401</v>
      </c>
      <c r="C112" s="424" t="s">
        <v>541</v>
      </c>
      <c r="D112" s="453">
        <f>+'Prog 1'!D112+'Prog 2'!D112+'Prog 3'!D112</f>
        <v>13550000</v>
      </c>
      <c r="E112" s="453">
        <f>+'Prog 1'!E112+'Prog 2'!E112+'Prog 3'!E112</f>
        <v>0</v>
      </c>
      <c r="F112" s="453">
        <f>+'Prog 1'!F112+'Prog 2'!F112+'Prog 3'!F112</f>
        <v>0</v>
      </c>
      <c r="G112" s="453">
        <v>0</v>
      </c>
      <c r="H112" s="453">
        <v>0</v>
      </c>
      <c r="I112" s="453">
        <v>0</v>
      </c>
      <c r="J112" s="453">
        <v>0</v>
      </c>
      <c r="K112" s="453">
        <v>0</v>
      </c>
      <c r="L112" s="453">
        <f t="shared" si="95"/>
        <v>0</v>
      </c>
      <c r="M112" s="508">
        <f t="shared" si="96"/>
        <v>13550000</v>
      </c>
      <c r="N112" s="620">
        <v>1475873.15</v>
      </c>
      <c r="O112" s="425">
        <f>'Prog 1'!N112+'Prog 2'!N112+'Prog 3'!N112</f>
        <v>502640.40000000014</v>
      </c>
      <c r="P112" s="425">
        <f>'Prog 1'!O112+'Prog 2'!O112+'Prog 3'!O112</f>
        <v>187722.55000000005</v>
      </c>
      <c r="Q112" s="508">
        <f>'Prog 1'!P112+'Prog 2'!P112+'Prog 3'!P112</f>
        <v>2866690.41</v>
      </c>
      <c r="R112" s="526">
        <f t="shared" si="97"/>
        <v>5032926.51</v>
      </c>
      <c r="S112" s="578">
        <f t="shared" si="67"/>
        <v>0.37143369077490773</v>
      </c>
      <c r="T112" s="576">
        <f t="shared" si="68"/>
        <v>8517073.4900000002</v>
      </c>
    </row>
    <row r="113" spans="1:20" s="7" customFormat="1" ht="28.8" x14ac:dyDescent="0.2">
      <c r="A113" s="435" t="s">
        <v>64</v>
      </c>
      <c r="B113" s="423" t="s">
        <v>402</v>
      </c>
      <c r="C113" s="424" t="s">
        <v>538</v>
      </c>
      <c r="D113" s="453">
        <f>+'Prog 1'!D113+'Prog 2'!D113+'Prog 3'!D113</f>
        <v>7700000</v>
      </c>
      <c r="E113" s="453">
        <f>+'Prog 1'!E113+'Prog 2'!E113+'Prog 3'!E113</f>
        <v>0</v>
      </c>
      <c r="F113" s="453">
        <f>+'Prog 1'!F113+'Prog 2'!F113+'Prog 3'!F113</f>
        <v>0</v>
      </c>
      <c r="G113" s="453">
        <v>0</v>
      </c>
      <c r="H113" s="453">
        <v>0</v>
      </c>
      <c r="I113" s="453">
        <v>0</v>
      </c>
      <c r="J113" s="453">
        <v>0</v>
      </c>
      <c r="K113" s="453">
        <v>0</v>
      </c>
      <c r="L113" s="453">
        <f t="shared" si="95"/>
        <v>0</v>
      </c>
      <c r="M113" s="508">
        <f t="shared" si="96"/>
        <v>7700000</v>
      </c>
      <c r="N113" s="620">
        <v>0</v>
      </c>
      <c r="O113" s="425">
        <f>'Prog 1'!N113+'Prog 2'!N113+'Prog 3'!N113</f>
        <v>0</v>
      </c>
      <c r="P113" s="425">
        <f>'Prog 1'!O113+'Prog 2'!O113+'Prog 3'!O113</f>
        <v>20057.5</v>
      </c>
      <c r="Q113" s="508">
        <f>'Prog 1'!P113+'Prog 2'!P113+'Prog 3'!P113</f>
        <v>0</v>
      </c>
      <c r="R113" s="526">
        <f t="shared" si="97"/>
        <v>20057.5</v>
      </c>
      <c r="S113" s="578">
        <f t="shared" si="67"/>
        <v>2.6048701298701299E-3</v>
      </c>
      <c r="T113" s="576">
        <f t="shared" si="68"/>
        <v>7679942.5</v>
      </c>
    </row>
    <row r="114" spans="1:20" s="7" customFormat="1" ht="28.8" x14ac:dyDescent="0.2">
      <c r="A114" s="435" t="s">
        <v>64</v>
      </c>
      <c r="B114" s="423" t="s">
        <v>404</v>
      </c>
      <c r="C114" s="424" t="s">
        <v>540</v>
      </c>
      <c r="D114" s="453">
        <f>+'Prog 1'!D114+'Prog 2'!D114+'Prog 3'!D114</f>
        <v>6100000</v>
      </c>
      <c r="E114" s="453">
        <f>+'Prog 1'!E114+'Prog 2'!E114+'Prog 3'!E114</f>
        <v>0</v>
      </c>
      <c r="F114" s="453">
        <f>+'Prog 1'!F114+'Prog 2'!F114+'Prog 3'!F114</f>
        <v>0</v>
      </c>
      <c r="G114" s="453">
        <v>0</v>
      </c>
      <c r="H114" s="453">
        <v>0</v>
      </c>
      <c r="I114" s="453">
        <v>0</v>
      </c>
      <c r="J114" s="453">
        <v>0</v>
      </c>
      <c r="K114" s="453">
        <v>0</v>
      </c>
      <c r="L114" s="453">
        <f t="shared" si="95"/>
        <v>0</v>
      </c>
      <c r="M114" s="508">
        <f t="shared" si="96"/>
        <v>6100000</v>
      </c>
      <c r="N114" s="620">
        <v>89253.05</v>
      </c>
      <c r="O114" s="425">
        <f>'Prog 1'!N114+'Prog 2'!N114+'Prog 3'!N114</f>
        <v>261046.95</v>
      </c>
      <c r="P114" s="425">
        <f>'Prog 1'!O114+'Prog 2'!O114+'Prog 3'!O114</f>
        <v>0</v>
      </c>
      <c r="Q114" s="508">
        <f>'Prog 1'!P114+'Prog 2'!P114+'Prog 3'!P114</f>
        <v>556028.94999999995</v>
      </c>
      <c r="R114" s="526">
        <f t="shared" si="97"/>
        <v>906328.95</v>
      </c>
      <c r="S114" s="578">
        <f t="shared" si="67"/>
        <v>0.14857851639344261</v>
      </c>
      <c r="T114" s="576">
        <f t="shared" si="68"/>
        <v>5193671.05</v>
      </c>
    </row>
    <row r="115" spans="1:20" s="8" customFormat="1" ht="28.8" x14ac:dyDescent="0.2">
      <c r="A115" s="435" t="s">
        <v>64</v>
      </c>
      <c r="B115" s="423" t="s">
        <v>405</v>
      </c>
      <c r="C115" s="424" t="s">
        <v>542</v>
      </c>
      <c r="D115" s="453">
        <f>+'Prog 1'!D115+'Prog 2'!D115+'Prog 3'!D115</f>
        <v>9400000</v>
      </c>
      <c r="E115" s="453">
        <f>+'Prog 1'!E115+'Prog 2'!E115+'Prog 3'!E115</f>
        <v>0</v>
      </c>
      <c r="F115" s="453">
        <f>+'Prog 1'!F115+'Prog 2'!F115+'Prog 3'!F115</f>
        <v>0</v>
      </c>
      <c r="G115" s="453">
        <v>0</v>
      </c>
      <c r="H115" s="453">
        <v>0</v>
      </c>
      <c r="I115" s="453">
        <v>0</v>
      </c>
      <c r="J115" s="453">
        <v>0</v>
      </c>
      <c r="K115" s="453">
        <v>0</v>
      </c>
      <c r="L115" s="453">
        <f t="shared" si="95"/>
        <v>0</v>
      </c>
      <c r="M115" s="508">
        <f t="shared" si="96"/>
        <v>9400000</v>
      </c>
      <c r="N115" s="620">
        <v>859195.55</v>
      </c>
      <c r="O115" s="425">
        <f>'Prog 1'!N115+'Prog 2'!N115+'Prog 3'!N115</f>
        <v>1431770.95</v>
      </c>
      <c r="P115" s="425">
        <f>'Prog 1'!O115+'Prog 2'!O115+'Prog 3'!O115</f>
        <v>200093.14999999991</v>
      </c>
      <c r="Q115" s="508">
        <f>'Prog 1'!P115+'Prog 2'!P115+'Prog 3'!P115</f>
        <v>1519561.8599999999</v>
      </c>
      <c r="R115" s="526">
        <f t="shared" si="97"/>
        <v>4010621.51</v>
      </c>
      <c r="S115" s="578">
        <f t="shared" si="67"/>
        <v>0.42666186276595741</v>
      </c>
      <c r="T115" s="576">
        <f t="shared" si="68"/>
        <v>5389378.4900000002</v>
      </c>
    </row>
    <row r="116" spans="1:20" s="7" customFormat="1" ht="14.4" x14ac:dyDescent="0.2">
      <c r="A116" s="37"/>
      <c r="B116" s="429"/>
      <c r="C116" s="654"/>
      <c r="D116" s="671"/>
      <c r="E116" s="671"/>
      <c r="F116" s="671"/>
      <c r="G116" s="671"/>
      <c r="H116" s="671"/>
      <c r="I116" s="671"/>
      <c r="J116" s="671"/>
      <c r="K116" s="671"/>
      <c r="L116" s="671"/>
      <c r="M116" s="672"/>
      <c r="N116" s="673"/>
      <c r="O116" s="674"/>
      <c r="P116" s="674"/>
      <c r="Q116" s="672"/>
      <c r="R116" s="675"/>
      <c r="S116" s="578"/>
      <c r="T116" s="576"/>
    </row>
    <row r="117" spans="1:20" s="7" customFormat="1" ht="14.4" x14ac:dyDescent="0.2">
      <c r="A117" s="443"/>
      <c r="B117" s="439" t="s">
        <v>406</v>
      </c>
      <c r="C117" s="655" t="s">
        <v>104</v>
      </c>
      <c r="D117" s="548">
        <f t="shared" ref="D117:R117" si="98">SUM(D118+D124+D126+D128)</f>
        <v>6389127182.0699997</v>
      </c>
      <c r="E117" s="548">
        <f t="shared" si="98"/>
        <v>94162000</v>
      </c>
      <c r="F117" s="548">
        <f t="shared" ref="F117" si="99">SUM(F118+F124+F126+F128)</f>
        <v>0</v>
      </c>
      <c r="G117" s="548">
        <f t="shared" si="98"/>
        <v>0</v>
      </c>
      <c r="H117" s="548">
        <f t="shared" si="98"/>
        <v>0</v>
      </c>
      <c r="I117" s="548">
        <f t="shared" si="98"/>
        <v>0</v>
      </c>
      <c r="J117" s="548">
        <f t="shared" si="98"/>
        <v>0</v>
      </c>
      <c r="K117" s="548">
        <f t="shared" si="98"/>
        <v>0</v>
      </c>
      <c r="L117" s="548">
        <f t="shared" si="98"/>
        <v>94162000</v>
      </c>
      <c r="M117" s="510">
        <f t="shared" si="98"/>
        <v>6483289182.0699997</v>
      </c>
      <c r="N117" s="621">
        <v>150375276.37</v>
      </c>
      <c r="O117" s="441">
        <f t="shared" si="98"/>
        <v>7191636.9500000011</v>
      </c>
      <c r="P117" s="441">
        <f t="shared" si="98"/>
        <v>46025470.229999997</v>
      </c>
      <c r="Q117" s="510">
        <f t="shared" si="98"/>
        <v>25017489.949999996</v>
      </c>
      <c r="R117" s="530">
        <f t="shared" si="98"/>
        <v>228609873.5</v>
      </c>
      <c r="S117" s="577">
        <f t="shared" si="67"/>
        <v>3.5261403136580265E-2</v>
      </c>
      <c r="T117" s="574">
        <f t="shared" si="68"/>
        <v>6254679308.5699997</v>
      </c>
    </row>
    <row r="118" spans="1:20" s="7" customFormat="1" ht="28.8" x14ac:dyDescent="0.2">
      <c r="A118" s="432" t="s">
        <v>105</v>
      </c>
      <c r="B118" s="420" t="s">
        <v>407</v>
      </c>
      <c r="C118" s="654" t="s">
        <v>408</v>
      </c>
      <c r="D118" s="452">
        <f t="shared" ref="D118:R118" si="100">SUM(D119:D123)</f>
        <v>262000000</v>
      </c>
      <c r="E118" s="452">
        <f t="shared" si="100"/>
        <v>0</v>
      </c>
      <c r="F118" s="452">
        <f t="shared" ref="F118" si="101">SUM(F119:F123)</f>
        <v>0</v>
      </c>
      <c r="G118" s="452">
        <f t="shared" si="100"/>
        <v>0</v>
      </c>
      <c r="H118" s="452">
        <f t="shared" si="100"/>
        <v>0</v>
      </c>
      <c r="I118" s="452">
        <f t="shared" si="100"/>
        <v>0</v>
      </c>
      <c r="J118" s="452">
        <f t="shared" si="100"/>
        <v>0</v>
      </c>
      <c r="K118" s="452">
        <f t="shared" si="100"/>
        <v>0</v>
      </c>
      <c r="L118" s="452">
        <f t="shared" si="100"/>
        <v>0</v>
      </c>
      <c r="M118" s="507">
        <f t="shared" si="100"/>
        <v>262000000</v>
      </c>
      <c r="N118" s="619">
        <v>2151520</v>
      </c>
      <c r="O118" s="422">
        <f t="shared" si="100"/>
        <v>164975.0299999998</v>
      </c>
      <c r="P118" s="422">
        <f t="shared" si="100"/>
        <v>45260916.539999999</v>
      </c>
      <c r="Q118" s="507">
        <f t="shared" si="100"/>
        <v>24593955.839999996</v>
      </c>
      <c r="R118" s="524">
        <f t="shared" si="100"/>
        <v>72171367.409999996</v>
      </c>
      <c r="S118" s="579">
        <f t="shared" si="67"/>
        <v>0.27546323438931297</v>
      </c>
      <c r="T118" s="575">
        <f t="shared" si="68"/>
        <v>189828632.59</v>
      </c>
    </row>
    <row r="119" spans="1:20" s="7" customFormat="1" ht="14.4" x14ac:dyDescent="0.2">
      <c r="A119" s="433" t="s">
        <v>105</v>
      </c>
      <c r="B119" s="423" t="s">
        <v>409</v>
      </c>
      <c r="C119" s="424" t="s">
        <v>106</v>
      </c>
      <c r="D119" s="453">
        <f>+'Prog 1'!D119+'Prog 2'!D119+'Prog 3'!D119</f>
        <v>53000000</v>
      </c>
      <c r="E119" s="453">
        <f>+'Prog 1'!E119+'Prog 2'!E119+'Prog 3'!E119</f>
        <v>0</v>
      </c>
      <c r="F119" s="453">
        <f>+'Prog 1'!F119+'Prog 2'!F119+'Prog 3'!F119</f>
        <v>0</v>
      </c>
      <c r="G119" s="453">
        <v>0</v>
      </c>
      <c r="H119" s="453">
        <v>0</v>
      </c>
      <c r="I119" s="453">
        <v>0</v>
      </c>
      <c r="J119" s="453">
        <v>0</v>
      </c>
      <c r="K119" s="453">
        <v>0</v>
      </c>
      <c r="L119" s="453">
        <f t="shared" ref="L119:L123" si="102">SUM(E119:K119)</f>
        <v>0</v>
      </c>
      <c r="M119" s="508">
        <f t="shared" ref="M119:M123" si="103">D119+L119</f>
        <v>53000000</v>
      </c>
      <c r="N119" s="620">
        <v>0</v>
      </c>
      <c r="O119" s="425">
        <f>'Prog 1'!N119+'Prog 2'!N119+'Prog 3'!N119</f>
        <v>0</v>
      </c>
      <c r="P119" s="425">
        <f>'Prog 1'!O119+'Prog 2'!O119+'Prog 3'!O119</f>
        <v>0</v>
      </c>
      <c r="Q119" s="508">
        <f>'Prog 1'!P119+'Prog 2'!P119+'Prog 3'!P119</f>
        <v>0</v>
      </c>
      <c r="R119" s="526">
        <f t="shared" ref="R119:R123" si="104">N119+O119+P119+Q119</f>
        <v>0</v>
      </c>
      <c r="S119" s="578">
        <f t="shared" si="67"/>
        <v>0</v>
      </c>
      <c r="T119" s="576">
        <f t="shared" si="68"/>
        <v>53000000</v>
      </c>
    </row>
    <row r="120" spans="1:20" s="7" customFormat="1" ht="28.8" x14ac:dyDescent="0.2">
      <c r="A120" s="433" t="s">
        <v>105</v>
      </c>
      <c r="B120" s="423" t="s">
        <v>410</v>
      </c>
      <c r="C120" s="424" t="s">
        <v>107</v>
      </c>
      <c r="D120" s="453">
        <f>+'Prog 1'!D120+'Prog 2'!D120+'Prog 3'!D120</f>
        <v>20000000</v>
      </c>
      <c r="E120" s="453">
        <f>+'Prog 1'!E120+'Prog 2'!E120+'Prog 3'!E120</f>
        <v>0</v>
      </c>
      <c r="F120" s="453">
        <f>+'Prog 1'!F120+'Prog 2'!F120+'Prog 3'!F120</f>
        <v>0</v>
      </c>
      <c r="G120" s="453">
        <v>0</v>
      </c>
      <c r="H120" s="453">
        <v>0</v>
      </c>
      <c r="I120" s="453">
        <v>0</v>
      </c>
      <c r="J120" s="453">
        <v>0</v>
      </c>
      <c r="K120" s="453">
        <v>0</v>
      </c>
      <c r="L120" s="453">
        <f t="shared" si="102"/>
        <v>0</v>
      </c>
      <c r="M120" s="508">
        <f t="shared" si="103"/>
        <v>20000000</v>
      </c>
      <c r="N120" s="620">
        <v>2151520</v>
      </c>
      <c r="O120" s="425">
        <f>'Prog 1'!N120+'Prog 2'!N120+'Prog 3'!N120</f>
        <v>164975.0299999998</v>
      </c>
      <c r="P120" s="425">
        <f>'Prog 1'!O120+'Prog 2'!O120+'Prog 3'!O120</f>
        <v>0</v>
      </c>
      <c r="Q120" s="508">
        <f>'Prog 1'!P120+'Prog 2'!P120+'Prog 3'!P120</f>
        <v>0</v>
      </c>
      <c r="R120" s="526">
        <f t="shared" si="104"/>
        <v>2316495.0299999998</v>
      </c>
      <c r="S120" s="578">
        <f t="shared" si="67"/>
        <v>0.11582475149999999</v>
      </c>
      <c r="T120" s="576">
        <f t="shared" si="68"/>
        <v>17683504.969999999</v>
      </c>
    </row>
    <row r="121" spans="1:20" s="8" customFormat="1" ht="28.8" x14ac:dyDescent="0.2">
      <c r="A121" s="433" t="s">
        <v>105</v>
      </c>
      <c r="B121" s="423" t="s">
        <v>411</v>
      </c>
      <c r="C121" s="424" t="s">
        <v>412</v>
      </c>
      <c r="D121" s="453">
        <f>+'Prog 1'!D121+'Prog 2'!D121+'Prog 3'!D121</f>
        <v>147000000</v>
      </c>
      <c r="E121" s="453">
        <f>+'Prog 1'!E121+'Prog 2'!E121+'Prog 3'!E121</f>
        <v>0</v>
      </c>
      <c r="F121" s="453">
        <f>+'Prog 1'!F121+'Prog 2'!F121+'Prog 3'!F121</f>
        <v>0</v>
      </c>
      <c r="G121" s="453">
        <v>0</v>
      </c>
      <c r="H121" s="453">
        <v>0</v>
      </c>
      <c r="I121" s="453">
        <v>0</v>
      </c>
      <c r="J121" s="453">
        <v>0</v>
      </c>
      <c r="K121" s="453">
        <v>0</v>
      </c>
      <c r="L121" s="453">
        <f t="shared" si="102"/>
        <v>0</v>
      </c>
      <c r="M121" s="508">
        <f t="shared" si="103"/>
        <v>147000000</v>
      </c>
      <c r="N121" s="620">
        <v>0</v>
      </c>
      <c r="O121" s="425">
        <f>'Prog 1'!N121+'Prog 2'!N121+'Prog 3'!N121</f>
        <v>0</v>
      </c>
      <c r="P121" s="425">
        <f>'Prog 1'!O121+'Prog 2'!O121+'Prog 3'!O121</f>
        <v>45260916.539999999</v>
      </c>
      <c r="Q121" s="508">
        <f>'Prog 1'!P121+'Prog 2'!P121+'Prog 3'!P121</f>
        <v>24593955.839999996</v>
      </c>
      <c r="R121" s="526">
        <f t="shared" si="104"/>
        <v>69854872.379999995</v>
      </c>
      <c r="S121" s="578">
        <f t="shared" si="67"/>
        <v>0.47520321346938771</v>
      </c>
      <c r="T121" s="576">
        <f t="shared" si="68"/>
        <v>77145127.620000005</v>
      </c>
    </row>
    <row r="122" spans="1:20" s="8" customFormat="1" ht="28.8" x14ac:dyDescent="0.2">
      <c r="A122" s="433" t="s">
        <v>105</v>
      </c>
      <c r="B122" s="423" t="s">
        <v>413</v>
      </c>
      <c r="C122" s="424" t="s">
        <v>543</v>
      </c>
      <c r="D122" s="453">
        <f>+'Prog 1'!D122+'Prog 2'!D122+'Prog 3'!D122</f>
        <v>2000000</v>
      </c>
      <c r="E122" s="453">
        <f>+'Prog 1'!E122+'Prog 2'!E122+'Prog 3'!E122</f>
        <v>0</v>
      </c>
      <c r="F122" s="453">
        <f>+'Prog 1'!F122+'Prog 2'!F122+'Prog 3'!F122</f>
        <v>0</v>
      </c>
      <c r="G122" s="453">
        <v>0</v>
      </c>
      <c r="H122" s="453">
        <v>0</v>
      </c>
      <c r="I122" s="453">
        <v>0</v>
      </c>
      <c r="J122" s="453">
        <v>0</v>
      </c>
      <c r="K122" s="453">
        <v>0</v>
      </c>
      <c r="L122" s="453">
        <f t="shared" si="102"/>
        <v>0</v>
      </c>
      <c r="M122" s="508">
        <f t="shared" si="103"/>
        <v>2000000</v>
      </c>
      <c r="N122" s="620">
        <v>0</v>
      </c>
      <c r="O122" s="425">
        <f>'Prog 1'!N122+'Prog 2'!N122+'Prog 3'!N122</f>
        <v>0</v>
      </c>
      <c r="P122" s="425">
        <f>'Prog 1'!O122+'Prog 2'!O122+'Prog 3'!O122</f>
        <v>0</v>
      </c>
      <c r="Q122" s="508">
        <f>'Prog 1'!P122+'Prog 2'!P122+'Prog 3'!P122</f>
        <v>0</v>
      </c>
      <c r="R122" s="526">
        <f t="shared" si="104"/>
        <v>0</v>
      </c>
      <c r="S122" s="578">
        <f t="shared" si="67"/>
        <v>0</v>
      </c>
      <c r="T122" s="576">
        <f t="shared" si="68"/>
        <v>2000000</v>
      </c>
    </row>
    <row r="123" spans="1:20" s="7" customFormat="1" ht="28.8" x14ac:dyDescent="0.2">
      <c r="A123" s="433" t="s">
        <v>105</v>
      </c>
      <c r="B123" s="423" t="s">
        <v>414</v>
      </c>
      <c r="C123" s="424" t="s">
        <v>544</v>
      </c>
      <c r="D123" s="453">
        <f>+'Prog 1'!D123+'Prog 2'!D123+'Prog 3'!D123</f>
        <v>40000000</v>
      </c>
      <c r="E123" s="453">
        <f>+'Prog 1'!E123+'Prog 2'!E123+'Prog 3'!E123</f>
        <v>0</v>
      </c>
      <c r="F123" s="453">
        <f>+'Prog 1'!F123+'Prog 2'!F123+'Prog 3'!F123</f>
        <v>0</v>
      </c>
      <c r="G123" s="453">
        <v>0</v>
      </c>
      <c r="H123" s="453">
        <v>0</v>
      </c>
      <c r="I123" s="453">
        <v>0</v>
      </c>
      <c r="J123" s="453">
        <v>0</v>
      </c>
      <c r="K123" s="453">
        <v>0</v>
      </c>
      <c r="L123" s="453">
        <f t="shared" si="102"/>
        <v>0</v>
      </c>
      <c r="M123" s="508">
        <f t="shared" si="103"/>
        <v>40000000</v>
      </c>
      <c r="N123" s="620">
        <v>0</v>
      </c>
      <c r="O123" s="425">
        <f>'Prog 1'!N123+'Prog 2'!N123+'Prog 3'!N123</f>
        <v>0</v>
      </c>
      <c r="P123" s="425">
        <f>'Prog 1'!O123+'Prog 2'!O123+'Prog 3'!O123</f>
        <v>0</v>
      </c>
      <c r="Q123" s="508">
        <f>'Prog 1'!P123+'Prog 2'!P123+'Prog 3'!P123</f>
        <v>0</v>
      </c>
      <c r="R123" s="526">
        <f t="shared" si="104"/>
        <v>0</v>
      </c>
      <c r="S123" s="578">
        <f t="shared" si="67"/>
        <v>0</v>
      </c>
      <c r="T123" s="576">
        <f t="shared" si="68"/>
        <v>40000000</v>
      </c>
    </row>
    <row r="124" spans="1:20" s="8" customFormat="1" ht="28.8" x14ac:dyDescent="0.2">
      <c r="A124" s="432">
        <v>2.1</v>
      </c>
      <c r="B124" s="420" t="s">
        <v>415</v>
      </c>
      <c r="C124" s="654" t="s">
        <v>545</v>
      </c>
      <c r="D124" s="452">
        <f t="shared" ref="D124:R124" si="105">SUM(D125)</f>
        <v>5462427182.0699997</v>
      </c>
      <c r="E124" s="452">
        <f t="shared" si="105"/>
        <v>94162000</v>
      </c>
      <c r="F124" s="452">
        <f t="shared" si="105"/>
        <v>0</v>
      </c>
      <c r="G124" s="452">
        <f t="shared" si="105"/>
        <v>0</v>
      </c>
      <c r="H124" s="452">
        <f t="shared" si="105"/>
        <v>0</v>
      </c>
      <c r="I124" s="452">
        <f t="shared" si="105"/>
        <v>0</v>
      </c>
      <c r="J124" s="452">
        <f t="shared" si="105"/>
        <v>0</v>
      </c>
      <c r="K124" s="452">
        <f t="shared" si="105"/>
        <v>0</v>
      </c>
      <c r="L124" s="452">
        <f t="shared" si="105"/>
        <v>94162000</v>
      </c>
      <c r="M124" s="507">
        <f t="shared" si="105"/>
        <v>5556589182.0699997</v>
      </c>
      <c r="N124" s="619">
        <v>94161616.120000005</v>
      </c>
      <c r="O124" s="422">
        <f t="shared" si="105"/>
        <v>0</v>
      </c>
      <c r="P124" s="422">
        <f t="shared" si="105"/>
        <v>0</v>
      </c>
      <c r="Q124" s="507">
        <f t="shared" si="105"/>
        <v>0</v>
      </c>
      <c r="R124" s="524">
        <f t="shared" si="105"/>
        <v>94161616.120000005</v>
      </c>
      <c r="S124" s="579">
        <f t="shared" si="67"/>
        <v>1.6945938062839103E-2</v>
      </c>
      <c r="T124" s="575">
        <f t="shared" si="68"/>
        <v>5462427565.9499998</v>
      </c>
    </row>
    <row r="125" spans="1:20" s="8" customFormat="1" ht="14.4" x14ac:dyDescent="0.2">
      <c r="A125" s="433" t="s">
        <v>109</v>
      </c>
      <c r="B125" s="423" t="s">
        <v>417</v>
      </c>
      <c r="C125" s="424" t="s">
        <v>110</v>
      </c>
      <c r="D125" s="453">
        <f>+'Prog 1'!D125+'Prog 2'!D125+'Prog 3'!D125</f>
        <v>5462427182.0699997</v>
      </c>
      <c r="E125" s="453">
        <f>+'Prog 1'!E125+'Prog 2'!E125+'Prog 3'!E125</f>
        <v>94162000</v>
      </c>
      <c r="F125" s="453">
        <f>+'Prog 1'!F125+'Prog 2'!F125+'Prog 3'!F125</f>
        <v>0</v>
      </c>
      <c r="G125" s="453">
        <v>0</v>
      </c>
      <c r="H125" s="453">
        <v>0</v>
      </c>
      <c r="I125" s="453">
        <v>0</v>
      </c>
      <c r="J125" s="453">
        <v>0</v>
      </c>
      <c r="K125" s="453">
        <v>0</v>
      </c>
      <c r="L125" s="453">
        <f>SUM(E125:K125)</f>
        <v>94162000</v>
      </c>
      <c r="M125" s="508">
        <f>D125+L125</f>
        <v>5556589182.0699997</v>
      </c>
      <c r="N125" s="620">
        <v>94161616.120000005</v>
      </c>
      <c r="O125" s="425">
        <f>'Prog 1'!N125+'Prog 2'!N125+'Prog 3'!N125</f>
        <v>0</v>
      </c>
      <c r="P125" s="425">
        <f>'Prog 1'!O125+'Prog 2'!O125+'Prog 3'!O125</f>
        <v>0</v>
      </c>
      <c r="Q125" s="508">
        <f>'Prog 1'!P125+'Prog 2'!P125+'Prog 3'!P125</f>
        <v>0</v>
      </c>
      <c r="R125" s="526">
        <f>N125+O125+P125+Q125</f>
        <v>94161616.120000005</v>
      </c>
      <c r="S125" s="578">
        <f t="shared" si="67"/>
        <v>1.6945938062839103E-2</v>
      </c>
      <c r="T125" s="576">
        <f t="shared" si="68"/>
        <v>5462427565.9499998</v>
      </c>
    </row>
    <row r="126" spans="1:20" s="8" customFormat="1" ht="14.4" x14ac:dyDescent="0.2">
      <c r="A126" s="432" t="s">
        <v>448</v>
      </c>
      <c r="B126" s="420" t="s">
        <v>418</v>
      </c>
      <c r="C126" s="654" t="s">
        <v>419</v>
      </c>
      <c r="D126" s="452">
        <f t="shared" ref="D126:R126" si="106">SUM(D127)</f>
        <v>0</v>
      </c>
      <c r="E126" s="452">
        <f t="shared" si="106"/>
        <v>0</v>
      </c>
      <c r="F126" s="452">
        <f t="shared" si="106"/>
        <v>0</v>
      </c>
      <c r="G126" s="452">
        <f t="shared" si="106"/>
        <v>0</v>
      </c>
      <c r="H126" s="452">
        <f t="shared" si="106"/>
        <v>0</v>
      </c>
      <c r="I126" s="452">
        <f t="shared" si="106"/>
        <v>0</v>
      </c>
      <c r="J126" s="452">
        <f t="shared" si="106"/>
        <v>0</v>
      </c>
      <c r="K126" s="452">
        <f t="shared" si="106"/>
        <v>0</v>
      </c>
      <c r="L126" s="452">
        <f t="shared" si="106"/>
        <v>0</v>
      </c>
      <c r="M126" s="507">
        <f t="shared" si="106"/>
        <v>0</v>
      </c>
      <c r="N126" s="619">
        <v>0</v>
      </c>
      <c r="O126" s="422">
        <f t="shared" si="106"/>
        <v>0</v>
      </c>
      <c r="P126" s="422">
        <f t="shared" si="106"/>
        <v>0</v>
      </c>
      <c r="Q126" s="507">
        <f t="shared" si="106"/>
        <v>0</v>
      </c>
      <c r="R126" s="524">
        <f t="shared" si="106"/>
        <v>0</v>
      </c>
      <c r="S126" s="579" t="e">
        <f t="shared" si="67"/>
        <v>#DIV/0!</v>
      </c>
      <c r="T126" s="575">
        <f t="shared" si="68"/>
        <v>0</v>
      </c>
    </row>
    <row r="127" spans="1:20" s="8" customFormat="1" ht="14.4" x14ac:dyDescent="0.2">
      <c r="A127" s="433" t="s">
        <v>448</v>
      </c>
      <c r="B127" s="423" t="s">
        <v>420</v>
      </c>
      <c r="C127" s="424" t="s">
        <v>111</v>
      </c>
      <c r="D127" s="453">
        <f>+'Prog 1'!D127+'Prog 2'!D127+'Prog 3'!D127</f>
        <v>0</v>
      </c>
      <c r="E127" s="453">
        <f>+'Prog 1'!E127+'Prog 2'!E127+'Prog 3'!E127</f>
        <v>0</v>
      </c>
      <c r="F127" s="453">
        <f>+'Prog 1'!F127+'Prog 2'!F127+'Prog 3'!F127</f>
        <v>0</v>
      </c>
      <c r="G127" s="453">
        <v>0</v>
      </c>
      <c r="H127" s="453">
        <v>0</v>
      </c>
      <c r="I127" s="453">
        <v>0</v>
      </c>
      <c r="J127" s="453">
        <v>0</v>
      </c>
      <c r="K127" s="453">
        <v>0</v>
      </c>
      <c r="L127" s="453">
        <f>SUM(E127:K127)</f>
        <v>0</v>
      </c>
      <c r="M127" s="508">
        <f>D127+L127</f>
        <v>0</v>
      </c>
      <c r="N127" s="620">
        <v>0</v>
      </c>
      <c r="O127" s="425">
        <f>'Prog 1'!N127+'Prog 2'!N127+'Prog 3'!N127</f>
        <v>0</v>
      </c>
      <c r="P127" s="425">
        <v>0</v>
      </c>
      <c r="Q127" s="508">
        <v>0</v>
      </c>
      <c r="R127" s="526">
        <f>N127+O127+P127+Q127</f>
        <v>0</v>
      </c>
      <c r="S127" s="578" t="e">
        <f t="shared" si="67"/>
        <v>#DIV/0!</v>
      </c>
      <c r="T127" s="576">
        <f t="shared" si="68"/>
        <v>0</v>
      </c>
    </row>
    <row r="128" spans="1:20" s="7" customFormat="1" ht="28.8" x14ac:dyDescent="0.2">
      <c r="A128" s="432" t="s">
        <v>112</v>
      </c>
      <c r="B128" s="420" t="s">
        <v>421</v>
      </c>
      <c r="C128" s="654" t="s">
        <v>422</v>
      </c>
      <c r="D128" s="676">
        <f t="shared" ref="D128:R128" si="107">SUM(D129)</f>
        <v>664700000</v>
      </c>
      <c r="E128" s="676">
        <f t="shared" si="107"/>
        <v>0</v>
      </c>
      <c r="F128" s="676">
        <f t="shared" si="107"/>
        <v>0</v>
      </c>
      <c r="G128" s="676">
        <f t="shared" si="107"/>
        <v>0</v>
      </c>
      <c r="H128" s="676">
        <f t="shared" si="107"/>
        <v>0</v>
      </c>
      <c r="I128" s="676">
        <f t="shared" si="107"/>
        <v>0</v>
      </c>
      <c r="J128" s="676">
        <f t="shared" si="107"/>
        <v>0</v>
      </c>
      <c r="K128" s="676">
        <f t="shared" si="107"/>
        <v>0</v>
      </c>
      <c r="L128" s="676">
        <f t="shared" si="107"/>
        <v>0</v>
      </c>
      <c r="M128" s="677">
        <f t="shared" si="107"/>
        <v>664700000</v>
      </c>
      <c r="N128" s="678">
        <v>54062140.25</v>
      </c>
      <c r="O128" s="679">
        <f t="shared" si="107"/>
        <v>7026661.9200000018</v>
      </c>
      <c r="P128" s="679">
        <f t="shared" si="107"/>
        <v>764553.68999999762</v>
      </c>
      <c r="Q128" s="677">
        <f t="shared" si="107"/>
        <v>423534.1099999994</v>
      </c>
      <c r="R128" s="680">
        <f t="shared" si="107"/>
        <v>62276889.969999999</v>
      </c>
      <c r="S128" s="579">
        <f t="shared" si="67"/>
        <v>9.3691725545358803E-2</v>
      </c>
      <c r="T128" s="575">
        <f t="shared" si="68"/>
        <v>602423110.02999997</v>
      </c>
    </row>
    <row r="129" spans="1:20" s="7" customFormat="1" ht="14.4" x14ac:dyDescent="0.2">
      <c r="A129" s="433" t="s">
        <v>112</v>
      </c>
      <c r="B129" s="423" t="s">
        <v>423</v>
      </c>
      <c r="C129" s="424" t="s">
        <v>113</v>
      </c>
      <c r="D129" s="453">
        <f>+'Prog 1'!D129+'Prog 2'!D129+'Prog 3'!D129</f>
        <v>664700000</v>
      </c>
      <c r="E129" s="453">
        <f>+'Prog 1'!E129+'Prog 2'!E129+'Prog 3'!E129</f>
        <v>0</v>
      </c>
      <c r="F129" s="453">
        <f>+'Prog 1'!F129+'Prog 2'!F129+'Prog 3'!F129</f>
        <v>0</v>
      </c>
      <c r="G129" s="453">
        <v>0</v>
      </c>
      <c r="H129" s="453">
        <v>0</v>
      </c>
      <c r="I129" s="453">
        <v>0</v>
      </c>
      <c r="J129" s="453">
        <v>0</v>
      </c>
      <c r="K129" s="453">
        <v>0</v>
      </c>
      <c r="L129" s="453">
        <f>SUM(E129:K129)</f>
        <v>0</v>
      </c>
      <c r="M129" s="508">
        <f>D129+L129</f>
        <v>664700000</v>
      </c>
      <c r="N129" s="620">
        <v>54062140.25</v>
      </c>
      <c r="O129" s="425">
        <f>'Prog 1'!N129+'Prog 2'!N129+'Prog 3'!N129</f>
        <v>7026661.9200000018</v>
      </c>
      <c r="P129" s="425">
        <f>'Prog 1'!O129+'Prog 2'!O129+'Prog 3'!O129</f>
        <v>764553.68999999762</v>
      </c>
      <c r="Q129" s="508">
        <f>'Prog 1'!P129+'Prog 2'!P129+'Prog 3'!P129</f>
        <v>423534.1099999994</v>
      </c>
      <c r="R129" s="526">
        <f t="shared" ref="R129" si="108">N129+O129+P129+Q129</f>
        <v>62276889.969999999</v>
      </c>
      <c r="S129" s="578">
        <f t="shared" si="67"/>
        <v>9.3691725545358803E-2</v>
      </c>
      <c r="T129" s="576">
        <f t="shared" si="68"/>
        <v>602423110.02999997</v>
      </c>
    </row>
    <row r="130" spans="1:20" s="7" customFormat="1" ht="14.4" x14ac:dyDescent="0.2">
      <c r="A130" s="37"/>
      <c r="B130" s="423"/>
      <c r="C130" s="424"/>
      <c r="D130" s="454"/>
      <c r="E130" s="454"/>
      <c r="F130" s="454"/>
      <c r="G130" s="454"/>
      <c r="H130" s="454"/>
      <c r="I130" s="454"/>
      <c r="J130" s="454"/>
      <c r="K130" s="454"/>
      <c r="L130" s="454"/>
      <c r="M130" s="573"/>
      <c r="N130" s="622"/>
      <c r="O130" s="580"/>
      <c r="P130" s="580"/>
      <c r="Q130" s="573"/>
      <c r="R130" s="581"/>
      <c r="S130" s="578"/>
      <c r="T130" s="576"/>
    </row>
    <row r="131" spans="1:20" s="7" customFormat="1" ht="28.8" x14ac:dyDescent="0.2">
      <c r="A131" s="437" t="s">
        <v>12</v>
      </c>
      <c r="B131" s="439" t="s">
        <v>424</v>
      </c>
      <c r="C131" s="656" t="s">
        <v>26</v>
      </c>
      <c r="D131" s="547">
        <f>SUM(D132+D134+D137+D140+D142+D144)</f>
        <v>682000000</v>
      </c>
      <c r="E131" s="547">
        <f t="shared" ref="E131:R131" si="109">SUM(E132+E134+E137+E140+E142+E144)</f>
        <v>2000000</v>
      </c>
      <c r="F131" s="547">
        <f t="shared" si="109"/>
        <v>642660</v>
      </c>
      <c r="G131" s="547">
        <f t="shared" si="109"/>
        <v>0</v>
      </c>
      <c r="H131" s="547">
        <f t="shared" si="109"/>
        <v>0</v>
      </c>
      <c r="I131" s="547">
        <f t="shared" si="109"/>
        <v>0</v>
      </c>
      <c r="J131" s="547">
        <f t="shared" si="109"/>
        <v>0</v>
      </c>
      <c r="K131" s="547">
        <f t="shared" si="109"/>
        <v>0</v>
      </c>
      <c r="L131" s="547">
        <f t="shared" si="109"/>
        <v>2642660</v>
      </c>
      <c r="M131" s="506">
        <f t="shared" si="109"/>
        <v>684642660</v>
      </c>
      <c r="N131" s="618">
        <v>209698505.56</v>
      </c>
      <c r="O131" s="440">
        <f t="shared" si="109"/>
        <v>12426134.099999998</v>
      </c>
      <c r="P131" s="440">
        <f t="shared" si="109"/>
        <v>6353207.6700000027</v>
      </c>
      <c r="Q131" s="506">
        <f t="shared" si="109"/>
        <v>8279463.5699999984</v>
      </c>
      <c r="R131" s="522">
        <f t="shared" si="109"/>
        <v>236757310.90000001</v>
      </c>
      <c r="S131" s="577">
        <f t="shared" si="67"/>
        <v>0.34581150829835816</v>
      </c>
      <c r="T131" s="547">
        <f>SUM(T132+T134+T137+T140+T142+T144)</f>
        <v>447885349.10000002</v>
      </c>
    </row>
    <row r="132" spans="1:20" s="7" customFormat="1" ht="28.8" x14ac:dyDescent="0.2">
      <c r="A132" s="432" t="s">
        <v>85</v>
      </c>
      <c r="B132" s="420" t="s">
        <v>425</v>
      </c>
      <c r="C132" s="654" t="s">
        <v>546</v>
      </c>
      <c r="D132" s="452">
        <f t="shared" ref="D132:R132" si="110">SUM(D133)</f>
        <v>120000000</v>
      </c>
      <c r="E132" s="452">
        <f t="shared" si="110"/>
        <v>0</v>
      </c>
      <c r="F132" s="452">
        <f t="shared" si="110"/>
        <v>0</v>
      </c>
      <c r="G132" s="452">
        <f t="shared" si="110"/>
        <v>0</v>
      </c>
      <c r="H132" s="452">
        <f t="shared" si="110"/>
        <v>0</v>
      </c>
      <c r="I132" s="452">
        <f t="shared" si="110"/>
        <v>0</v>
      </c>
      <c r="J132" s="452">
        <f t="shared" si="110"/>
        <v>0</v>
      </c>
      <c r="K132" s="452">
        <f t="shared" si="110"/>
        <v>0</v>
      </c>
      <c r="L132" s="452">
        <f t="shared" si="110"/>
        <v>0</v>
      </c>
      <c r="M132" s="507">
        <f t="shared" si="110"/>
        <v>120000000</v>
      </c>
      <c r="N132" s="619">
        <v>79863311.400000006</v>
      </c>
      <c r="O132" s="422">
        <f t="shared" si="110"/>
        <v>0</v>
      </c>
      <c r="P132" s="422">
        <f t="shared" si="110"/>
        <v>0</v>
      </c>
      <c r="Q132" s="507">
        <f t="shared" si="110"/>
        <v>0</v>
      </c>
      <c r="R132" s="524">
        <f t="shared" si="110"/>
        <v>79863311.400000006</v>
      </c>
      <c r="S132" s="579">
        <f t="shared" si="67"/>
        <v>0.66552759500000003</v>
      </c>
      <c r="T132" s="575">
        <f t="shared" si="68"/>
        <v>40136688.599999994</v>
      </c>
    </row>
    <row r="133" spans="1:20" s="7" customFormat="1" ht="28.8" x14ac:dyDescent="0.2">
      <c r="A133" s="433" t="s">
        <v>85</v>
      </c>
      <c r="B133" s="423" t="s">
        <v>426</v>
      </c>
      <c r="C133" s="424" t="s">
        <v>547</v>
      </c>
      <c r="D133" s="453">
        <f>+'Prog 1'!D133+'Prog 2'!D133+'Prog 3'!D133</f>
        <v>120000000</v>
      </c>
      <c r="E133" s="453">
        <f>+'Prog 1'!E133+'Prog 2'!E133+'Prog 3'!E133</f>
        <v>0</v>
      </c>
      <c r="F133" s="453">
        <f>+'Prog 1'!F133+'Prog 2'!F133+'Prog 3'!F133</f>
        <v>0</v>
      </c>
      <c r="G133" s="453">
        <v>0</v>
      </c>
      <c r="H133" s="453">
        <v>0</v>
      </c>
      <c r="I133" s="453">
        <v>0</v>
      </c>
      <c r="J133" s="453">
        <v>0</v>
      </c>
      <c r="K133" s="453">
        <v>0</v>
      </c>
      <c r="L133" s="453">
        <f>SUM(E133:K133)</f>
        <v>0</v>
      </c>
      <c r="M133" s="508">
        <f>D133+L133</f>
        <v>120000000</v>
      </c>
      <c r="N133" s="620">
        <v>79863311.400000006</v>
      </c>
      <c r="O133" s="425">
        <f>'Prog 1'!N133+'Prog 2'!N133+'Prog 3'!N133</f>
        <v>0</v>
      </c>
      <c r="P133" s="425">
        <f>'Prog 1'!O133+'Prog 2'!O133+'Prog 3'!O133</f>
        <v>0</v>
      </c>
      <c r="Q133" s="508">
        <f>'Prog 1'!P133+'Prog 2'!P133+'Prog 3'!P133</f>
        <v>0</v>
      </c>
      <c r="R133" s="526">
        <f t="shared" ref="R133" si="111">N133+O133+P133+Q133</f>
        <v>79863311.400000006</v>
      </c>
      <c r="S133" s="578">
        <f t="shared" si="67"/>
        <v>0.66552759500000003</v>
      </c>
      <c r="T133" s="576">
        <f t="shared" si="68"/>
        <v>40136688.599999994</v>
      </c>
    </row>
    <row r="134" spans="1:20" s="7" customFormat="1" ht="28.8" x14ac:dyDescent="0.2">
      <c r="A134" s="432" t="s">
        <v>14</v>
      </c>
      <c r="B134" s="420" t="s">
        <v>427</v>
      </c>
      <c r="C134" s="654" t="s">
        <v>548</v>
      </c>
      <c r="D134" s="452">
        <f t="shared" ref="D134:R134" si="112">SUM(D135:D136)</f>
        <v>2000000</v>
      </c>
      <c r="E134" s="452">
        <f t="shared" si="112"/>
        <v>0</v>
      </c>
      <c r="F134" s="452">
        <f t="shared" ref="F134" si="113">SUM(F135:F136)</f>
        <v>642660</v>
      </c>
      <c r="G134" s="452">
        <f t="shared" si="112"/>
        <v>0</v>
      </c>
      <c r="H134" s="452">
        <f t="shared" si="112"/>
        <v>0</v>
      </c>
      <c r="I134" s="452">
        <f t="shared" si="112"/>
        <v>0</v>
      </c>
      <c r="J134" s="452">
        <f t="shared" si="112"/>
        <v>0</v>
      </c>
      <c r="K134" s="452">
        <f t="shared" si="112"/>
        <v>0</v>
      </c>
      <c r="L134" s="452">
        <f t="shared" si="112"/>
        <v>642660</v>
      </c>
      <c r="M134" s="507">
        <f t="shared" si="112"/>
        <v>2642660</v>
      </c>
      <c r="N134" s="619">
        <v>87483.33</v>
      </c>
      <c r="O134" s="422">
        <f t="shared" si="112"/>
        <v>126666.65999999999</v>
      </c>
      <c r="P134" s="422">
        <f t="shared" si="112"/>
        <v>40950</v>
      </c>
      <c r="Q134" s="507">
        <f t="shared" si="112"/>
        <v>105988.25</v>
      </c>
      <c r="R134" s="524">
        <f t="shared" si="112"/>
        <v>361088.24</v>
      </c>
      <c r="S134" s="579">
        <f t="shared" si="67"/>
        <v>0.13663817517198579</v>
      </c>
      <c r="T134" s="575">
        <f t="shared" si="68"/>
        <v>2281571.7599999998</v>
      </c>
    </row>
    <row r="135" spans="1:20" s="7" customFormat="1" ht="14.4" x14ac:dyDescent="0.2">
      <c r="A135" s="433" t="s">
        <v>14</v>
      </c>
      <c r="B135" s="423" t="s">
        <v>429</v>
      </c>
      <c r="C135" s="424" t="s">
        <v>114</v>
      </c>
      <c r="D135" s="453">
        <f>+'Prog 1'!D135+'Prog 2'!D135+'Prog 3'!D135</f>
        <v>500000</v>
      </c>
      <c r="E135" s="453">
        <f>+'Prog 1'!E135+'Prog 2'!E135+'Prog 3'!E135</f>
        <v>0</v>
      </c>
      <c r="F135" s="453">
        <f>+'Prog 1'!F135+'Prog 2'!F135+'Prog 3'!F135</f>
        <v>0</v>
      </c>
      <c r="G135" s="453">
        <v>0</v>
      </c>
      <c r="H135" s="453">
        <v>0</v>
      </c>
      <c r="I135" s="453">
        <v>0</v>
      </c>
      <c r="J135" s="453">
        <v>0</v>
      </c>
      <c r="K135" s="453">
        <v>0</v>
      </c>
      <c r="L135" s="453">
        <f t="shared" ref="L135:L136" si="114">SUM(E135:K135)</f>
        <v>0</v>
      </c>
      <c r="M135" s="508">
        <f t="shared" ref="M135:M136" si="115">D135+L135</f>
        <v>500000</v>
      </c>
      <c r="N135" s="620">
        <v>63333.33</v>
      </c>
      <c r="O135" s="425">
        <f>'Prog 1'!N135+'Prog 2'!N135+'Prog 3'!N135</f>
        <v>126666.65999999999</v>
      </c>
      <c r="P135" s="425">
        <f>'Prog 1'!O135+'Prog 2'!O135+'Prog 3'!O135</f>
        <v>0</v>
      </c>
      <c r="Q135" s="508">
        <f>'Prog 1'!P135+'Prog 2'!P135+'Prog 3'!P135</f>
        <v>0</v>
      </c>
      <c r="R135" s="526">
        <f t="shared" ref="R135" si="116">N135+O135+P135+Q135</f>
        <v>189999.99</v>
      </c>
      <c r="S135" s="578">
        <f t="shared" si="67"/>
        <v>0.37999997999999996</v>
      </c>
      <c r="T135" s="576">
        <f t="shared" si="68"/>
        <v>310000.01</v>
      </c>
    </row>
    <row r="136" spans="1:20" s="7" customFormat="1" ht="28.8" x14ac:dyDescent="0.2">
      <c r="A136" s="433" t="s">
        <v>14</v>
      </c>
      <c r="B136" s="423" t="s">
        <v>430</v>
      </c>
      <c r="C136" s="424" t="s">
        <v>115</v>
      </c>
      <c r="D136" s="453">
        <f>+'Prog 1'!D136+'Prog 2'!D136+'Prog 3'!D136</f>
        <v>1500000</v>
      </c>
      <c r="E136" s="453">
        <f>+'Prog 1'!E136+'Prog 2'!E136+'Prog 3'!E136</f>
        <v>0</v>
      </c>
      <c r="F136" s="453">
        <f>+'Prog 1'!F136+'Prog 2'!F136+'Prog 3'!F136</f>
        <v>642660</v>
      </c>
      <c r="G136" s="453">
        <v>0</v>
      </c>
      <c r="H136" s="453">
        <v>0</v>
      </c>
      <c r="I136" s="453">
        <v>0</v>
      </c>
      <c r="J136" s="453">
        <v>0</v>
      </c>
      <c r="K136" s="453">
        <v>0</v>
      </c>
      <c r="L136" s="453">
        <f t="shared" si="114"/>
        <v>642660</v>
      </c>
      <c r="M136" s="508">
        <f t="shared" si="115"/>
        <v>2142660</v>
      </c>
      <c r="N136" s="620">
        <v>24150</v>
      </c>
      <c r="O136" s="425">
        <f>'Prog 1'!N136+'Prog 2'!N136+'Prog 3'!N136</f>
        <v>0</v>
      </c>
      <c r="P136" s="425">
        <f>'Prog 1'!O136+'Prog 2'!O136+'Prog 3'!O136</f>
        <v>40950</v>
      </c>
      <c r="Q136" s="508">
        <f>'Prog 1'!P136+'Prog 2'!P136+'Prog 3'!P136</f>
        <v>105988.25</v>
      </c>
      <c r="R136" s="526">
        <f t="shared" ref="R136" si="117">N136+O136+P136+Q136</f>
        <v>171088.25</v>
      </c>
      <c r="S136" s="578">
        <f t="shared" si="67"/>
        <v>7.9848529398037951E-2</v>
      </c>
      <c r="T136" s="576">
        <f t="shared" si="68"/>
        <v>1971571.75</v>
      </c>
    </row>
    <row r="137" spans="1:20" s="8" customFormat="1" ht="14.4" x14ac:dyDescent="0.2">
      <c r="A137" s="436" t="s">
        <v>14</v>
      </c>
      <c r="B137" s="420" t="s">
        <v>431</v>
      </c>
      <c r="C137" s="654" t="s">
        <v>432</v>
      </c>
      <c r="D137" s="452">
        <f t="shared" ref="D137:R137" si="118">SUM(D138:D139)</f>
        <v>430000000</v>
      </c>
      <c r="E137" s="452">
        <f t="shared" si="118"/>
        <v>0</v>
      </c>
      <c r="F137" s="452">
        <f t="shared" ref="F137" si="119">SUM(F138:F139)</f>
        <v>0</v>
      </c>
      <c r="G137" s="452">
        <f t="shared" si="118"/>
        <v>0</v>
      </c>
      <c r="H137" s="452">
        <f t="shared" si="118"/>
        <v>0</v>
      </c>
      <c r="I137" s="452">
        <f t="shared" si="118"/>
        <v>0</v>
      </c>
      <c r="J137" s="452">
        <f t="shared" si="118"/>
        <v>0</v>
      </c>
      <c r="K137" s="452">
        <f t="shared" si="118"/>
        <v>0</v>
      </c>
      <c r="L137" s="452">
        <f t="shared" si="118"/>
        <v>0</v>
      </c>
      <c r="M137" s="507">
        <f t="shared" si="118"/>
        <v>430000000</v>
      </c>
      <c r="N137" s="619">
        <v>30771960.830000002</v>
      </c>
      <c r="O137" s="422">
        <f t="shared" si="118"/>
        <v>7652967.4399999967</v>
      </c>
      <c r="P137" s="422">
        <f t="shared" si="118"/>
        <v>6312257.6700000027</v>
      </c>
      <c r="Q137" s="507">
        <f t="shared" si="118"/>
        <v>8173475.3199999984</v>
      </c>
      <c r="R137" s="524">
        <f t="shared" si="118"/>
        <v>52910661.259999998</v>
      </c>
      <c r="S137" s="579">
        <f t="shared" si="67"/>
        <v>0.12304804944186046</v>
      </c>
      <c r="T137" s="575">
        <f t="shared" si="68"/>
        <v>377089338.74000001</v>
      </c>
    </row>
    <row r="138" spans="1:20" s="8" customFormat="1" ht="14.4" x14ac:dyDescent="0.2">
      <c r="A138" s="433" t="s">
        <v>14</v>
      </c>
      <c r="B138" s="423" t="s">
        <v>433</v>
      </c>
      <c r="C138" s="424" t="s">
        <v>116</v>
      </c>
      <c r="D138" s="453">
        <f>+'Prog 1'!D138+'Prog 2'!D138+'Prog 3'!D138</f>
        <v>300000000</v>
      </c>
      <c r="E138" s="453">
        <f>+'Prog 1'!E138+'Prog 2'!E138+'Prog 3'!E138</f>
        <v>0</v>
      </c>
      <c r="F138" s="453">
        <f>+'Prog 1'!F138+'Prog 2'!F138+'Prog 3'!F138</f>
        <v>0</v>
      </c>
      <c r="G138" s="453">
        <v>0</v>
      </c>
      <c r="H138" s="453">
        <v>0</v>
      </c>
      <c r="I138" s="453">
        <v>0</v>
      </c>
      <c r="J138" s="453">
        <v>0</v>
      </c>
      <c r="K138" s="453">
        <v>0</v>
      </c>
      <c r="L138" s="453">
        <f t="shared" ref="L138:L139" si="120">SUM(E138:K138)</f>
        <v>0</v>
      </c>
      <c r="M138" s="508">
        <f t="shared" ref="M138:M139" si="121">D138+L138</f>
        <v>300000000</v>
      </c>
      <c r="N138" s="620">
        <v>3819976.27</v>
      </c>
      <c r="O138" s="425">
        <f>'Prog 1'!N138+'Prog 2'!N138+'Prog 3'!N138</f>
        <v>2615003.38</v>
      </c>
      <c r="P138" s="425">
        <f>'Prog 1'!O138+'Prog 2'!O138+'Prog 3'!O138</f>
        <v>223129.15</v>
      </c>
      <c r="Q138" s="508">
        <f>'Prog 1'!P138+'Prog 2'!P138+'Prog 3'!P138</f>
        <v>2103237.91</v>
      </c>
      <c r="R138" s="526">
        <f t="shared" ref="R138:R139" si="122">N138+O138+P138+Q138</f>
        <v>8761346.7100000009</v>
      </c>
      <c r="S138" s="578">
        <f t="shared" si="67"/>
        <v>2.9204489033333336E-2</v>
      </c>
      <c r="T138" s="576">
        <f t="shared" si="68"/>
        <v>291238653.29000002</v>
      </c>
    </row>
    <row r="139" spans="1:20" s="7" customFormat="1" ht="14.4" x14ac:dyDescent="0.2">
      <c r="A139" s="433" t="s">
        <v>14</v>
      </c>
      <c r="B139" s="423" t="s">
        <v>434</v>
      </c>
      <c r="C139" s="424" t="s">
        <v>117</v>
      </c>
      <c r="D139" s="453">
        <f>+'Prog 1'!D139+'Prog 2'!D139+'Prog 3'!D139</f>
        <v>130000000</v>
      </c>
      <c r="E139" s="453">
        <f>+'Prog 1'!E139+'Prog 2'!E139+'Prog 3'!E139</f>
        <v>0</v>
      </c>
      <c r="F139" s="453">
        <f>+'Prog 1'!F139+'Prog 2'!F139+'Prog 3'!F139</f>
        <v>0</v>
      </c>
      <c r="G139" s="453">
        <v>0</v>
      </c>
      <c r="H139" s="453">
        <v>0</v>
      </c>
      <c r="I139" s="453">
        <v>0</v>
      </c>
      <c r="J139" s="453">
        <v>0</v>
      </c>
      <c r="K139" s="453">
        <v>0</v>
      </c>
      <c r="L139" s="453">
        <f t="shared" si="120"/>
        <v>0</v>
      </c>
      <c r="M139" s="508">
        <f t="shared" si="121"/>
        <v>130000000</v>
      </c>
      <c r="N139" s="620">
        <v>26951984.560000002</v>
      </c>
      <c r="O139" s="425">
        <f>'Prog 1'!N139+'Prog 2'!N139+'Prog 3'!N139</f>
        <v>5037964.0599999968</v>
      </c>
      <c r="P139" s="425">
        <f>'Prog 1'!O139+'Prog 2'!O139+'Prog 3'!O139</f>
        <v>6089128.5200000023</v>
      </c>
      <c r="Q139" s="508">
        <f>'Prog 1'!P139+'Prog 2'!P139+'Prog 3'!P139</f>
        <v>6070237.4099999983</v>
      </c>
      <c r="R139" s="526">
        <f t="shared" si="122"/>
        <v>44149314.549999997</v>
      </c>
      <c r="S139" s="578">
        <f t="shared" si="67"/>
        <v>0.33961011192307688</v>
      </c>
      <c r="T139" s="576">
        <f t="shared" si="68"/>
        <v>85850685.450000003</v>
      </c>
    </row>
    <row r="140" spans="1:20" s="7" customFormat="1" ht="28.8" x14ac:dyDescent="0.2">
      <c r="A140" s="436" t="s">
        <v>14</v>
      </c>
      <c r="B140" s="420" t="s">
        <v>457</v>
      </c>
      <c r="C140" s="657" t="s">
        <v>549</v>
      </c>
      <c r="D140" s="454">
        <f>+D141</f>
        <v>0</v>
      </c>
      <c r="E140" s="454">
        <f t="shared" ref="E140:T140" si="123">+E141</f>
        <v>0</v>
      </c>
      <c r="F140" s="454">
        <f t="shared" si="123"/>
        <v>0</v>
      </c>
      <c r="G140" s="454">
        <f t="shared" si="123"/>
        <v>0</v>
      </c>
      <c r="H140" s="454">
        <f t="shared" si="123"/>
        <v>0</v>
      </c>
      <c r="I140" s="454">
        <f t="shared" si="123"/>
        <v>0</v>
      </c>
      <c r="J140" s="454">
        <f t="shared" si="123"/>
        <v>0</v>
      </c>
      <c r="K140" s="454">
        <f t="shared" si="123"/>
        <v>0</v>
      </c>
      <c r="L140" s="454">
        <f t="shared" si="123"/>
        <v>0</v>
      </c>
      <c r="M140" s="573">
        <f t="shared" si="123"/>
        <v>0</v>
      </c>
      <c r="N140" s="622">
        <v>0</v>
      </c>
      <c r="O140" s="580">
        <f t="shared" si="123"/>
        <v>0</v>
      </c>
      <c r="P140" s="580">
        <f t="shared" si="123"/>
        <v>0</v>
      </c>
      <c r="Q140" s="573">
        <f t="shared" si="123"/>
        <v>0</v>
      </c>
      <c r="R140" s="581">
        <f t="shared" si="123"/>
        <v>0</v>
      </c>
      <c r="S140" s="579" t="e">
        <f t="shared" si="123"/>
        <v>#DIV/0!</v>
      </c>
      <c r="T140" s="454">
        <f t="shared" si="123"/>
        <v>0</v>
      </c>
    </row>
    <row r="141" spans="1:20" s="7" customFormat="1" ht="28.8" x14ac:dyDescent="0.2">
      <c r="A141" s="433" t="s">
        <v>14</v>
      </c>
      <c r="B141" s="423" t="s">
        <v>459</v>
      </c>
      <c r="C141" s="424" t="s">
        <v>550</v>
      </c>
      <c r="D141" s="453">
        <f>+'Prog 1'!D141+'Prog 2'!D141+'Prog 3'!D141</f>
        <v>0</v>
      </c>
      <c r="E141" s="453">
        <f>+'Prog 1'!E141+'Prog 2'!E141+'Prog 3'!E141</f>
        <v>0</v>
      </c>
      <c r="F141" s="453">
        <f>+'Prog 1'!F141+'Prog 2'!F141+'Prog 3'!F141</f>
        <v>0</v>
      </c>
      <c r="G141" s="453">
        <v>0</v>
      </c>
      <c r="H141" s="453">
        <v>0</v>
      </c>
      <c r="I141" s="453">
        <v>0</v>
      </c>
      <c r="J141" s="453">
        <v>0</v>
      </c>
      <c r="K141" s="453">
        <v>0</v>
      </c>
      <c r="L141" s="453">
        <f t="shared" ref="L141" si="124">SUM(E141:K141)</f>
        <v>0</v>
      </c>
      <c r="M141" s="508">
        <f t="shared" ref="M141" si="125">D141+L141</f>
        <v>0</v>
      </c>
      <c r="N141" s="620">
        <v>0</v>
      </c>
      <c r="O141" s="425">
        <f>'Prog 1'!N141+'Prog 2'!N141+'Prog 3'!N141</f>
        <v>0</v>
      </c>
      <c r="P141" s="425">
        <f>'Prog 1'!O141+'Prog 2'!O141+'Prog 3'!O141</f>
        <v>0</v>
      </c>
      <c r="Q141" s="508">
        <f>'Prog 1'!P141+'Prog 2'!P141+'Prog 3'!P141</f>
        <v>0</v>
      </c>
      <c r="R141" s="526">
        <f t="shared" ref="R141" si="126">N141+O141+P141+Q141</f>
        <v>0</v>
      </c>
      <c r="S141" s="578" t="e">
        <f t="shared" ref="S141" si="127">R141/M141</f>
        <v>#DIV/0!</v>
      </c>
      <c r="T141" s="576">
        <f t="shared" ref="T141" si="128">M141-R141</f>
        <v>0</v>
      </c>
    </row>
    <row r="142" spans="1:20" s="7" customFormat="1" ht="28.8" x14ac:dyDescent="0.2">
      <c r="A142" s="436" t="s">
        <v>14</v>
      </c>
      <c r="B142" s="420" t="s">
        <v>435</v>
      </c>
      <c r="C142" s="654" t="s">
        <v>551</v>
      </c>
      <c r="D142" s="452">
        <f t="shared" ref="D142:R142" si="129">SUM(D143)</f>
        <v>20000000</v>
      </c>
      <c r="E142" s="452">
        <f t="shared" si="129"/>
        <v>0</v>
      </c>
      <c r="F142" s="452">
        <f t="shared" si="129"/>
        <v>0</v>
      </c>
      <c r="G142" s="452">
        <f t="shared" si="129"/>
        <v>0</v>
      </c>
      <c r="H142" s="452">
        <f t="shared" si="129"/>
        <v>0</v>
      </c>
      <c r="I142" s="452">
        <f t="shared" si="129"/>
        <v>0</v>
      </c>
      <c r="J142" s="452">
        <f t="shared" si="129"/>
        <v>0</v>
      </c>
      <c r="K142" s="452">
        <f t="shared" si="129"/>
        <v>0</v>
      </c>
      <c r="L142" s="452">
        <f t="shared" si="129"/>
        <v>0</v>
      </c>
      <c r="M142" s="507">
        <f t="shared" si="129"/>
        <v>20000000</v>
      </c>
      <c r="N142" s="619">
        <v>0</v>
      </c>
      <c r="O142" s="422">
        <f t="shared" si="129"/>
        <v>0</v>
      </c>
      <c r="P142" s="422">
        <f t="shared" si="129"/>
        <v>0</v>
      </c>
      <c r="Q142" s="507">
        <f t="shared" si="129"/>
        <v>0</v>
      </c>
      <c r="R142" s="524">
        <f t="shared" si="129"/>
        <v>0</v>
      </c>
      <c r="S142" s="579">
        <f t="shared" si="67"/>
        <v>0</v>
      </c>
      <c r="T142" s="575">
        <f t="shared" si="68"/>
        <v>20000000</v>
      </c>
    </row>
    <row r="143" spans="1:20" s="7" customFormat="1" ht="14.4" x14ac:dyDescent="0.2">
      <c r="A143" s="433" t="s">
        <v>14</v>
      </c>
      <c r="B143" s="423" t="s">
        <v>436</v>
      </c>
      <c r="C143" s="424" t="s">
        <v>118</v>
      </c>
      <c r="D143" s="453">
        <f>+'Prog 1'!D143+'Prog 2'!D143+'Prog 3'!D143</f>
        <v>20000000</v>
      </c>
      <c r="E143" s="453">
        <f>+'Prog 1'!E143+'Prog 2'!E143+'Prog 3'!E143</f>
        <v>0</v>
      </c>
      <c r="F143" s="453">
        <f>+'Prog 1'!F143+'Prog 2'!F143+'Prog 3'!F143</f>
        <v>0</v>
      </c>
      <c r="G143" s="453">
        <v>0</v>
      </c>
      <c r="H143" s="453">
        <v>0</v>
      </c>
      <c r="I143" s="453">
        <v>0</v>
      </c>
      <c r="J143" s="453">
        <v>0</v>
      </c>
      <c r="K143" s="453">
        <v>0</v>
      </c>
      <c r="L143" s="453">
        <f>SUM(E143:K143)</f>
        <v>0</v>
      </c>
      <c r="M143" s="508">
        <f>D143+L143</f>
        <v>20000000</v>
      </c>
      <c r="N143" s="620">
        <v>0</v>
      </c>
      <c r="O143" s="425">
        <f>'Prog 1'!N143+'Prog 2'!N143+'Prog 3'!N143</f>
        <v>0</v>
      </c>
      <c r="P143" s="425">
        <f>'Prog 1'!O143+'Prog 2'!O143+'Prog 3'!O143</f>
        <v>0</v>
      </c>
      <c r="Q143" s="508">
        <f>'Prog 1'!P143+'Prog 2'!P143+'Prog 3'!P143</f>
        <v>0</v>
      </c>
      <c r="R143" s="526">
        <f t="shared" ref="R143" si="130">N143+O143+P143+Q143</f>
        <v>0</v>
      </c>
      <c r="S143" s="578">
        <f t="shared" si="67"/>
        <v>0</v>
      </c>
      <c r="T143" s="576">
        <f t="shared" si="68"/>
        <v>20000000</v>
      </c>
    </row>
    <row r="144" spans="1:20" s="7" customFormat="1" ht="28.8" x14ac:dyDescent="0.2">
      <c r="A144" s="436" t="s">
        <v>14</v>
      </c>
      <c r="B144" s="420" t="s">
        <v>437</v>
      </c>
      <c r="C144" s="654" t="s">
        <v>552</v>
      </c>
      <c r="D144" s="452">
        <f t="shared" ref="D144:R144" si="131">SUM(D145)</f>
        <v>110000000</v>
      </c>
      <c r="E144" s="452">
        <f t="shared" si="131"/>
        <v>2000000</v>
      </c>
      <c r="F144" s="452">
        <f t="shared" si="131"/>
        <v>0</v>
      </c>
      <c r="G144" s="452">
        <f t="shared" si="131"/>
        <v>0</v>
      </c>
      <c r="H144" s="452">
        <f t="shared" si="131"/>
        <v>0</v>
      </c>
      <c r="I144" s="452">
        <f t="shared" si="131"/>
        <v>0</v>
      </c>
      <c r="J144" s="452">
        <f t="shared" si="131"/>
        <v>0</v>
      </c>
      <c r="K144" s="452">
        <f t="shared" si="131"/>
        <v>0</v>
      </c>
      <c r="L144" s="452">
        <f t="shared" si="131"/>
        <v>2000000</v>
      </c>
      <c r="M144" s="507">
        <f t="shared" si="131"/>
        <v>112000000</v>
      </c>
      <c r="N144" s="619">
        <v>98975750</v>
      </c>
      <c r="O144" s="422">
        <f t="shared" si="131"/>
        <v>4646500</v>
      </c>
      <c r="P144" s="422">
        <f t="shared" si="131"/>
        <v>0</v>
      </c>
      <c r="Q144" s="507">
        <f t="shared" si="131"/>
        <v>0</v>
      </c>
      <c r="R144" s="524">
        <f t="shared" si="131"/>
        <v>103622250</v>
      </c>
      <c r="S144" s="579">
        <f t="shared" si="67"/>
        <v>0.92519866071428569</v>
      </c>
      <c r="T144" s="575">
        <f t="shared" si="68"/>
        <v>8377750</v>
      </c>
    </row>
    <row r="145" spans="1:20" s="8" customFormat="1" ht="28.8" x14ac:dyDescent="0.2">
      <c r="A145" s="433" t="s">
        <v>14</v>
      </c>
      <c r="B145" s="423" t="s">
        <v>438</v>
      </c>
      <c r="C145" s="424" t="s">
        <v>553</v>
      </c>
      <c r="D145" s="453">
        <f>+'Prog 1'!D145+'Prog 2'!D145+'Prog 3'!D145</f>
        <v>110000000</v>
      </c>
      <c r="E145" s="453">
        <f>+'Prog 1'!E145+'Prog 2'!E145+'Prog 3'!E145</f>
        <v>2000000</v>
      </c>
      <c r="F145" s="453">
        <f>+'Prog 1'!F145+'Prog 2'!F145+'Prog 3'!F145</f>
        <v>0</v>
      </c>
      <c r="G145" s="453">
        <v>0</v>
      </c>
      <c r="H145" s="453">
        <v>0</v>
      </c>
      <c r="I145" s="453">
        <v>0</v>
      </c>
      <c r="J145" s="453">
        <v>0</v>
      </c>
      <c r="K145" s="453">
        <v>0</v>
      </c>
      <c r="L145" s="453">
        <f>SUM(E145:K145)</f>
        <v>2000000</v>
      </c>
      <c r="M145" s="508">
        <f>D145+L145</f>
        <v>112000000</v>
      </c>
      <c r="N145" s="620">
        <v>98975750</v>
      </c>
      <c r="O145" s="425">
        <f>'Prog 1'!N145+'Prog 2'!N145+'Prog 3'!N145</f>
        <v>4646500</v>
      </c>
      <c r="P145" s="425">
        <f>'Prog 1'!O145+'Prog 2'!O145+'Prog 3'!O145</f>
        <v>0</v>
      </c>
      <c r="Q145" s="508">
        <f>'Prog 1'!P145+'Prog 2'!P145+'Prog 3'!P145</f>
        <v>0</v>
      </c>
      <c r="R145" s="526">
        <f t="shared" ref="R145" si="132">N145+O145+P145+Q145</f>
        <v>103622250</v>
      </c>
      <c r="S145" s="578">
        <f t="shared" ref="S145:S155" si="133">R145/M145</f>
        <v>0.92519866071428569</v>
      </c>
      <c r="T145" s="576">
        <f t="shared" ref="T145:T155" si="134">M145-R145</f>
        <v>8377750</v>
      </c>
    </row>
    <row r="146" spans="1:20" s="8" customFormat="1" ht="14.4" x14ac:dyDescent="0.2">
      <c r="A146" s="37"/>
      <c r="B146" s="423"/>
      <c r="C146" s="424"/>
      <c r="D146" s="454"/>
      <c r="E146" s="454"/>
      <c r="F146" s="454"/>
      <c r="G146" s="454"/>
      <c r="H146" s="454"/>
      <c r="I146" s="454"/>
      <c r="J146" s="454"/>
      <c r="K146" s="454"/>
      <c r="L146" s="454"/>
      <c r="M146" s="573"/>
      <c r="N146" s="622"/>
      <c r="O146" s="580"/>
      <c r="P146" s="580"/>
      <c r="Q146" s="573"/>
      <c r="R146" s="581"/>
      <c r="S146" s="578"/>
      <c r="T146" s="576"/>
    </row>
    <row r="147" spans="1:20" s="7" customFormat="1" ht="28.8" x14ac:dyDescent="0.2">
      <c r="A147" s="437" t="s">
        <v>450</v>
      </c>
      <c r="B147" s="681" t="s">
        <v>439</v>
      </c>
      <c r="C147" s="656" t="s">
        <v>440</v>
      </c>
      <c r="D147" s="547">
        <f t="shared" ref="D147:R147" si="135">+D148</f>
        <v>1800000000</v>
      </c>
      <c r="E147" s="547">
        <f t="shared" si="135"/>
        <v>0</v>
      </c>
      <c r="F147" s="547">
        <f t="shared" si="135"/>
        <v>0</v>
      </c>
      <c r="G147" s="547">
        <f t="shared" si="135"/>
        <v>0</v>
      </c>
      <c r="H147" s="547">
        <f t="shared" si="135"/>
        <v>0</v>
      </c>
      <c r="I147" s="547">
        <f t="shared" si="135"/>
        <v>0</v>
      </c>
      <c r="J147" s="547">
        <f t="shared" si="135"/>
        <v>0</v>
      </c>
      <c r="K147" s="547">
        <f t="shared" si="135"/>
        <v>0</v>
      </c>
      <c r="L147" s="547">
        <f t="shared" si="135"/>
        <v>0</v>
      </c>
      <c r="M147" s="506">
        <f t="shared" si="135"/>
        <v>1800000000</v>
      </c>
      <c r="N147" s="618">
        <v>92593131</v>
      </c>
      <c r="O147" s="440">
        <f t="shared" si="135"/>
        <v>96998278</v>
      </c>
      <c r="P147" s="440">
        <f t="shared" si="135"/>
        <v>100526861.5</v>
      </c>
      <c r="Q147" s="506">
        <f t="shared" si="135"/>
        <v>81833396.5</v>
      </c>
      <c r="R147" s="522">
        <f t="shared" si="135"/>
        <v>371951667</v>
      </c>
      <c r="S147" s="577">
        <f t="shared" si="133"/>
        <v>0.206639815</v>
      </c>
      <c r="T147" s="574">
        <f t="shared" si="134"/>
        <v>1428048333</v>
      </c>
    </row>
    <row r="148" spans="1:20" s="7" customFormat="1" ht="28.8" x14ac:dyDescent="0.2">
      <c r="A148" s="432" t="s">
        <v>119</v>
      </c>
      <c r="B148" s="670" t="s">
        <v>441</v>
      </c>
      <c r="C148" s="654" t="s">
        <v>554</v>
      </c>
      <c r="D148" s="452">
        <f t="shared" ref="D148:R148" si="136">SUM(D149)</f>
        <v>1800000000</v>
      </c>
      <c r="E148" s="452">
        <f t="shared" si="136"/>
        <v>0</v>
      </c>
      <c r="F148" s="452">
        <f t="shared" si="136"/>
        <v>0</v>
      </c>
      <c r="G148" s="452">
        <f t="shared" si="136"/>
        <v>0</v>
      </c>
      <c r="H148" s="452">
        <f t="shared" si="136"/>
        <v>0</v>
      </c>
      <c r="I148" s="452">
        <f t="shared" si="136"/>
        <v>0</v>
      </c>
      <c r="J148" s="452">
        <f t="shared" si="136"/>
        <v>0</v>
      </c>
      <c r="K148" s="452">
        <f t="shared" si="136"/>
        <v>0</v>
      </c>
      <c r="L148" s="452">
        <f t="shared" si="136"/>
        <v>0</v>
      </c>
      <c r="M148" s="507">
        <f t="shared" si="136"/>
        <v>1800000000</v>
      </c>
      <c r="N148" s="619">
        <v>92593131</v>
      </c>
      <c r="O148" s="422">
        <f t="shared" si="136"/>
        <v>96998278</v>
      </c>
      <c r="P148" s="422">
        <f t="shared" si="136"/>
        <v>100526861.5</v>
      </c>
      <c r="Q148" s="507">
        <f t="shared" si="136"/>
        <v>81833396.5</v>
      </c>
      <c r="R148" s="524">
        <f t="shared" si="136"/>
        <v>371951667</v>
      </c>
      <c r="S148" s="579">
        <f t="shared" si="133"/>
        <v>0.206639815</v>
      </c>
      <c r="T148" s="575">
        <f t="shared" si="134"/>
        <v>1428048333</v>
      </c>
    </row>
    <row r="149" spans="1:20" s="8" customFormat="1" ht="28.8" x14ac:dyDescent="0.2">
      <c r="A149" s="492" t="s">
        <v>119</v>
      </c>
      <c r="B149" s="423" t="s">
        <v>443</v>
      </c>
      <c r="C149" s="424" t="s">
        <v>120</v>
      </c>
      <c r="D149" s="453">
        <f>+'Prog 1'!D149+'Prog 2'!D149+'Prog 3'!D149</f>
        <v>1800000000</v>
      </c>
      <c r="E149" s="453">
        <f>+'Prog 1'!E149+'Prog 2'!E149+'Prog 3'!E149</f>
        <v>0</v>
      </c>
      <c r="F149" s="453">
        <f>+'Prog 1'!F149+'Prog 2'!F149+'Prog 3'!F149</f>
        <v>0</v>
      </c>
      <c r="G149" s="453">
        <v>0</v>
      </c>
      <c r="H149" s="453">
        <v>0</v>
      </c>
      <c r="I149" s="453">
        <v>0</v>
      </c>
      <c r="J149" s="453">
        <v>0</v>
      </c>
      <c r="K149" s="453">
        <v>0</v>
      </c>
      <c r="L149" s="453">
        <f>SUM(E149:K149)</f>
        <v>0</v>
      </c>
      <c r="M149" s="508">
        <f>D149+L149</f>
        <v>1800000000</v>
      </c>
      <c r="N149" s="620">
        <v>92593131</v>
      </c>
      <c r="O149" s="425">
        <f>'Prog 1'!N149+'Prog 2'!N149+'Prog 3'!N149</f>
        <v>96998278</v>
      </c>
      <c r="P149" s="425">
        <f>'Prog 1'!O149+'Prog 2'!O149+'Prog 3'!O149</f>
        <v>100526861.5</v>
      </c>
      <c r="Q149" s="508">
        <f>'Prog 1'!P149+'Prog 2'!P149+'Prog 3'!P149</f>
        <v>81833396.5</v>
      </c>
      <c r="R149" s="526">
        <f t="shared" ref="R149" si="137">N149+O149+P149+Q149</f>
        <v>371951667</v>
      </c>
      <c r="S149" s="578">
        <f t="shared" si="133"/>
        <v>0.206639815</v>
      </c>
      <c r="T149" s="576">
        <f t="shared" si="134"/>
        <v>1428048333</v>
      </c>
    </row>
    <row r="150" spans="1:20" s="197" customFormat="1" ht="14.4" x14ac:dyDescent="0.2">
      <c r="A150" s="432"/>
      <c r="B150" s="430"/>
      <c r="C150" s="654"/>
      <c r="D150" s="452"/>
      <c r="E150" s="452"/>
      <c r="F150" s="452"/>
      <c r="G150" s="452"/>
      <c r="H150" s="452"/>
      <c r="I150" s="452"/>
      <c r="J150" s="452"/>
      <c r="K150" s="452"/>
      <c r="L150" s="452"/>
      <c r="M150" s="507"/>
      <c r="N150" s="619"/>
      <c r="O150" s="422"/>
      <c r="P150" s="422"/>
      <c r="Q150" s="507"/>
      <c r="R150" s="524"/>
      <c r="S150" s="578"/>
      <c r="T150" s="576"/>
    </row>
    <row r="151" spans="1:20" s="7" customFormat="1" ht="14.4" x14ac:dyDescent="0.2">
      <c r="A151" s="437">
        <v>4</v>
      </c>
      <c r="B151" s="439" t="s">
        <v>444</v>
      </c>
      <c r="C151" s="656" t="s">
        <v>121</v>
      </c>
      <c r="D151" s="547">
        <f t="shared" ref="D151:R151" si="138">+D152</f>
        <v>844770320.35000002</v>
      </c>
      <c r="E151" s="547">
        <f t="shared" si="138"/>
        <v>-99326452</v>
      </c>
      <c r="F151" s="547">
        <f t="shared" si="138"/>
        <v>-20060000</v>
      </c>
      <c r="G151" s="547">
        <f t="shared" si="138"/>
        <v>0</v>
      </c>
      <c r="H151" s="547">
        <f t="shared" si="138"/>
        <v>0</v>
      </c>
      <c r="I151" s="547">
        <f t="shared" si="138"/>
        <v>0</v>
      </c>
      <c r="J151" s="547">
        <f t="shared" si="138"/>
        <v>0</v>
      </c>
      <c r="K151" s="547">
        <f t="shared" si="138"/>
        <v>0</v>
      </c>
      <c r="L151" s="547">
        <f t="shared" si="138"/>
        <v>-119386452</v>
      </c>
      <c r="M151" s="506">
        <f t="shared" si="138"/>
        <v>725383868.35000002</v>
      </c>
      <c r="N151" s="618">
        <v>0</v>
      </c>
      <c r="O151" s="440">
        <f t="shared" si="138"/>
        <v>0</v>
      </c>
      <c r="P151" s="440">
        <f t="shared" si="138"/>
        <v>0</v>
      </c>
      <c r="Q151" s="506">
        <f t="shared" si="138"/>
        <v>0</v>
      </c>
      <c r="R151" s="522">
        <f t="shared" si="138"/>
        <v>0</v>
      </c>
      <c r="S151" s="577">
        <f t="shared" si="133"/>
        <v>0</v>
      </c>
      <c r="T151" s="574">
        <f t="shared" si="134"/>
        <v>725383868.35000002</v>
      </c>
    </row>
    <row r="152" spans="1:20" s="7" customFormat="1" ht="28.8" x14ac:dyDescent="0.2">
      <c r="A152" s="497" t="s">
        <v>449</v>
      </c>
      <c r="B152" s="420" t="s">
        <v>441</v>
      </c>
      <c r="C152" s="654" t="s">
        <v>555</v>
      </c>
      <c r="D152" s="452">
        <f t="shared" ref="D152:R152" si="139">SUM(D153:D153)</f>
        <v>844770320.35000002</v>
      </c>
      <c r="E152" s="452">
        <f t="shared" si="139"/>
        <v>-99326452</v>
      </c>
      <c r="F152" s="452">
        <f t="shared" si="139"/>
        <v>-20060000</v>
      </c>
      <c r="G152" s="452">
        <f t="shared" si="139"/>
        <v>0</v>
      </c>
      <c r="H152" s="452">
        <f t="shared" si="139"/>
        <v>0</v>
      </c>
      <c r="I152" s="452">
        <f t="shared" si="139"/>
        <v>0</v>
      </c>
      <c r="J152" s="452">
        <f t="shared" si="139"/>
        <v>0</v>
      </c>
      <c r="K152" s="452">
        <f t="shared" si="139"/>
        <v>0</v>
      </c>
      <c r="L152" s="452">
        <f t="shared" si="139"/>
        <v>-119386452</v>
      </c>
      <c r="M152" s="507">
        <f t="shared" si="139"/>
        <v>725383868.35000002</v>
      </c>
      <c r="N152" s="619">
        <v>0</v>
      </c>
      <c r="O152" s="422">
        <f t="shared" si="139"/>
        <v>0</v>
      </c>
      <c r="P152" s="422">
        <f t="shared" si="139"/>
        <v>0</v>
      </c>
      <c r="Q152" s="507">
        <f t="shared" si="139"/>
        <v>0</v>
      </c>
      <c r="R152" s="524">
        <f t="shared" si="139"/>
        <v>0</v>
      </c>
      <c r="S152" s="579">
        <f t="shared" si="133"/>
        <v>0</v>
      </c>
      <c r="T152" s="575">
        <f t="shared" si="134"/>
        <v>725383868.35000002</v>
      </c>
    </row>
    <row r="153" spans="1:20" s="7" customFormat="1" ht="28.8" x14ac:dyDescent="0.2">
      <c r="A153" s="492" t="s">
        <v>449</v>
      </c>
      <c r="B153" s="423" t="s">
        <v>446</v>
      </c>
      <c r="C153" s="424" t="s">
        <v>556</v>
      </c>
      <c r="D153" s="453">
        <f>+'Prog 1'!D153+'Prog 2'!D153+'Prog 3'!D153</f>
        <v>844770320.35000002</v>
      </c>
      <c r="E153" s="453">
        <f>+'Prog 1'!E153+'Prog 2'!E153+'Prog 3'!E153</f>
        <v>-99326452</v>
      </c>
      <c r="F153" s="453">
        <f>+'Prog 1'!F153+'Prog 2'!F153+'Prog 3'!F153</f>
        <v>-20060000</v>
      </c>
      <c r="G153" s="453">
        <v>0</v>
      </c>
      <c r="H153" s="453">
        <v>0</v>
      </c>
      <c r="I153" s="453">
        <v>0</v>
      </c>
      <c r="J153" s="453">
        <v>0</v>
      </c>
      <c r="K153" s="453">
        <v>0</v>
      </c>
      <c r="L153" s="453">
        <f>SUM(E153:K153)</f>
        <v>-119386452</v>
      </c>
      <c r="M153" s="508">
        <f>D153+L153</f>
        <v>725383868.35000002</v>
      </c>
      <c r="N153" s="620">
        <v>0</v>
      </c>
      <c r="O153" s="425">
        <f>'Prog 1'!N153+'Prog 2'!N153+'Prog 3'!N153</f>
        <v>0</v>
      </c>
      <c r="P153" s="425">
        <f>'Prog 1'!O153+'Prog 2'!O153+'Prog 3'!O153</f>
        <v>0</v>
      </c>
      <c r="Q153" s="508">
        <f>'Prog 1'!P153+'Prog 2'!P153+'Prog 3'!P153</f>
        <v>0</v>
      </c>
      <c r="R153" s="526">
        <f t="shared" ref="R153" si="140">N153+O153+P153+Q153</f>
        <v>0</v>
      </c>
      <c r="S153" s="578">
        <f t="shared" si="133"/>
        <v>0</v>
      </c>
      <c r="T153" s="576">
        <f t="shared" si="134"/>
        <v>725383868.35000002</v>
      </c>
    </row>
    <row r="154" spans="1:20" s="7" customFormat="1" ht="14.4" x14ac:dyDescent="0.2">
      <c r="A154" s="583"/>
      <c r="B154" s="456"/>
      <c r="C154" s="658"/>
      <c r="D154" s="584"/>
      <c r="E154" s="584"/>
      <c r="F154" s="584"/>
      <c r="G154" s="584"/>
      <c r="H154" s="584"/>
      <c r="I154" s="584"/>
      <c r="J154" s="584"/>
      <c r="K154" s="584"/>
      <c r="L154" s="584"/>
      <c r="M154" s="512"/>
      <c r="N154" s="623"/>
      <c r="O154" s="458"/>
      <c r="P154" s="458"/>
      <c r="Q154" s="512"/>
      <c r="R154" s="532"/>
      <c r="S154" s="585"/>
      <c r="T154" s="586"/>
    </row>
    <row r="155" spans="1:20" s="7" customFormat="1" ht="15" thickBot="1" x14ac:dyDescent="0.25">
      <c r="A155" s="587"/>
      <c r="B155" s="588" t="s">
        <v>130</v>
      </c>
      <c r="C155" s="589"/>
      <c r="D155" s="590">
        <f>SUM(D151+D147+D131+D117+D89+D41+D13)</f>
        <v>24337962783.07</v>
      </c>
      <c r="E155" s="590">
        <f t="shared" ref="E155:R155" si="141">SUM(E151+E147+E131+E117+E89+E41+E13)</f>
        <v>0</v>
      </c>
      <c r="F155" s="590">
        <f t="shared" si="141"/>
        <v>0</v>
      </c>
      <c r="G155" s="590">
        <f t="shared" si="141"/>
        <v>0</v>
      </c>
      <c r="H155" s="590">
        <f t="shared" si="141"/>
        <v>0</v>
      </c>
      <c r="I155" s="590">
        <f t="shared" si="141"/>
        <v>0</v>
      </c>
      <c r="J155" s="590">
        <f t="shared" si="141"/>
        <v>0</v>
      </c>
      <c r="K155" s="590">
        <f t="shared" si="141"/>
        <v>0</v>
      </c>
      <c r="L155" s="590">
        <f t="shared" si="141"/>
        <v>0</v>
      </c>
      <c r="M155" s="591">
        <f t="shared" si="141"/>
        <v>24337962783.07</v>
      </c>
      <c r="N155" s="665">
        <f t="shared" si="141"/>
        <v>3250597030.9399996</v>
      </c>
      <c r="O155" s="666">
        <f t="shared" si="141"/>
        <v>957401698.26000011</v>
      </c>
      <c r="P155" s="666">
        <f t="shared" si="141"/>
        <v>999635808.99000001</v>
      </c>
      <c r="Q155" s="591">
        <f t="shared" si="141"/>
        <v>1028514390.51</v>
      </c>
      <c r="R155" s="668">
        <f t="shared" si="141"/>
        <v>6236148928.6999998</v>
      </c>
      <c r="S155" s="592">
        <f t="shared" si="133"/>
        <v>0.25623134459873514</v>
      </c>
      <c r="T155" s="593">
        <f t="shared" si="134"/>
        <v>18101813854.369999</v>
      </c>
    </row>
    <row r="156" spans="1:20" s="7" customFormat="1" ht="15" thickTop="1" x14ac:dyDescent="0.2">
      <c r="A156" s="16"/>
      <c r="B156" s="48"/>
      <c r="C156" s="49"/>
      <c r="D156" s="188"/>
      <c r="E156" s="267"/>
      <c r="F156" s="267"/>
      <c r="G156" s="267"/>
      <c r="H156" s="267"/>
      <c r="I156" s="267"/>
      <c r="J156" s="267"/>
      <c r="K156" s="267"/>
      <c r="L156" s="101"/>
      <c r="M156" s="189"/>
      <c r="N156" s="101"/>
      <c r="O156" s="101"/>
      <c r="P156" s="170"/>
      <c r="Q156" s="101"/>
      <c r="R156" s="189"/>
      <c r="S156" s="190"/>
      <c r="T156" s="101"/>
    </row>
    <row r="157" spans="1:20" ht="14.4" x14ac:dyDescent="0.3">
      <c r="A157" s="16" t="s">
        <v>237</v>
      </c>
      <c r="B157" s="51"/>
      <c r="C157" s="51"/>
      <c r="N157" s="9"/>
      <c r="S157" s="50"/>
    </row>
    <row r="158" spans="1:20" ht="14.4" x14ac:dyDescent="0.3">
      <c r="A158" s="16"/>
      <c r="B158" s="51"/>
      <c r="C158" s="51"/>
      <c r="N158" s="9"/>
      <c r="S158" s="50"/>
    </row>
    <row r="159" spans="1:20" ht="14.4" x14ac:dyDescent="0.3">
      <c r="A159" s="16"/>
      <c r="B159" s="51"/>
      <c r="C159" s="51"/>
      <c r="N159" s="9"/>
      <c r="S159" s="50"/>
    </row>
    <row r="160" spans="1:20" ht="12" customHeight="1" x14ac:dyDescent="0.3">
      <c r="M160" s="9"/>
    </row>
    <row r="161" spans="13:13" ht="12" customHeight="1" x14ac:dyDescent="0.3">
      <c r="M161" s="9"/>
    </row>
    <row r="162" spans="13:13" ht="12" customHeight="1" x14ac:dyDescent="0.3">
      <c r="M162" s="9"/>
    </row>
    <row r="163" spans="13:13" ht="12" customHeight="1" x14ac:dyDescent="0.3">
      <c r="M163" s="9"/>
    </row>
  </sheetData>
  <mergeCells count="20">
    <mergeCell ref="R10:R11"/>
    <mergeCell ref="A9:A11"/>
    <mergeCell ref="N10:N11"/>
    <mergeCell ref="T9:T11"/>
    <mergeCell ref="B9:B11"/>
    <mergeCell ref="E9:L10"/>
    <mergeCell ref="M9:M11"/>
    <mergeCell ref="C9:C11"/>
    <mergeCell ref="D9:D11"/>
    <mergeCell ref="N9:S9"/>
    <mergeCell ref="S10:S11"/>
    <mergeCell ref="Q10:Q11"/>
    <mergeCell ref="O10:O11"/>
    <mergeCell ref="P10:P11"/>
    <mergeCell ref="E4:T4"/>
    <mergeCell ref="E7:T7"/>
    <mergeCell ref="A1:T1"/>
    <mergeCell ref="A2:T2"/>
    <mergeCell ref="E3:T3"/>
    <mergeCell ref="E5:T5"/>
  </mergeCells>
  <printOptions horizontalCentered="1" verticalCentered="1"/>
  <pageMargins left="0.59055118110236227" right="0.19685039370078741" top="0.94488188976377963" bottom="0.74803149606299213" header="0.31496062992125984" footer="0.31496062992125984"/>
  <pageSetup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E95F-8CBB-4C39-B265-08643A123969}">
  <sheetPr>
    <tabColor theme="3" tint="0.59999389629810485"/>
  </sheetPr>
  <dimension ref="A2:D34"/>
  <sheetViews>
    <sheetView topLeftCell="A9" zoomScale="160" zoomScaleNormal="160" workbookViewId="0">
      <selection activeCell="G24" sqref="G24"/>
    </sheetView>
  </sheetViews>
  <sheetFormatPr baseColWidth="10" defaultRowHeight="10.199999999999999" x14ac:dyDescent="0.2"/>
  <cols>
    <col min="1" max="1" width="46" customWidth="1"/>
    <col min="2" max="2" width="23.140625" customWidth="1"/>
    <col min="3" max="3" width="23.42578125" customWidth="1"/>
    <col min="4" max="4" width="12.7109375" bestFit="1" customWidth="1"/>
  </cols>
  <sheetData>
    <row r="2" spans="1:4" ht="12" x14ac:dyDescent="0.25">
      <c r="A2" s="893"/>
      <c r="B2" s="893"/>
      <c r="C2" s="893"/>
    </row>
    <row r="3" spans="1:4" ht="14.4" x14ac:dyDescent="0.3">
      <c r="A3" s="225"/>
      <c r="B3" s="894" t="s">
        <v>220</v>
      </c>
      <c r="C3" s="894"/>
      <c r="D3" s="100"/>
    </row>
    <row r="4" spans="1:4" ht="12" x14ac:dyDescent="0.25">
      <c r="A4" s="225"/>
      <c r="B4" s="225"/>
      <c r="C4" s="225"/>
    </row>
    <row r="5" spans="1:4" ht="12" x14ac:dyDescent="0.25">
      <c r="A5" s="225"/>
      <c r="B5" s="894" t="s">
        <v>451</v>
      </c>
      <c r="C5" s="894"/>
    </row>
    <row r="6" spans="1:4" ht="12" x14ac:dyDescent="0.25">
      <c r="A6" s="225"/>
      <c r="B6" s="225"/>
      <c r="C6" s="225"/>
    </row>
    <row r="7" spans="1:4" ht="12" x14ac:dyDescent="0.25">
      <c r="A7" s="225"/>
      <c r="B7" s="225"/>
      <c r="C7" s="225"/>
    </row>
    <row r="8" spans="1:4" ht="18" customHeight="1" x14ac:dyDescent="0.2">
      <c r="A8" s="899" t="s">
        <v>190</v>
      </c>
      <c r="B8" s="900"/>
      <c r="C8" s="901"/>
    </row>
    <row r="9" spans="1:4" ht="12" x14ac:dyDescent="0.2">
      <c r="A9" s="554" t="s">
        <v>191</v>
      </c>
      <c r="B9" s="896" t="str">
        <f>+Ingresos!E6</f>
        <v>AL 30 DE JUNIO DEL 2026</v>
      </c>
      <c r="C9" s="897"/>
    </row>
    <row r="10" spans="1:4" ht="12" x14ac:dyDescent="0.2">
      <c r="A10" s="554" t="s">
        <v>192</v>
      </c>
      <c r="B10" s="898"/>
      <c r="C10" s="897"/>
    </row>
    <row r="11" spans="1:4" ht="12" x14ac:dyDescent="0.2">
      <c r="A11" s="226"/>
      <c r="B11" s="330"/>
      <c r="C11" s="264"/>
    </row>
    <row r="12" spans="1:4" ht="12" x14ac:dyDescent="0.2">
      <c r="A12" s="226" t="s">
        <v>193</v>
      </c>
      <c r="B12" s="331"/>
      <c r="C12" s="682">
        <f>SUM(B13:B16)</f>
        <v>8688857614.3999996</v>
      </c>
    </row>
    <row r="13" spans="1:4" ht="12" x14ac:dyDescent="0.2">
      <c r="A13" s="228" t="s">
        <v>196</v>
      </c>
      <c r="B13" s="332">
        <f>+Ingresos!J22</f>
        <v>8014417301</v>
      </c>
      <c r="C13" s="229"/>
    </row>
    <row r="14" spans="1:4" ht="12" x14ac:dyDescent="0.2">
      <c r="A14" s="228" t="s">
        <v>216</v>
      </c>
      <c r="B14" s="332">
        <f>+Ingresos!J27</f>
        <v>205497879</v>
      </c>
      <c r="C14" s="229"/>
    </row>
    <row r="15" spans="1:4" ht="12" x14ac:dyDescent="0.2">
      <c r="A15" s="228" t="s">
        <v>197</v>
      </c>
      <c r="B15" s="332">
        <f>+Ingresos!J32</f>
        <v>455724592.57999998</v>
      </c>
      <c r="C15" s="229"/>
    </row>
    <row r="16" spans="1:4" ht="12" x14ac:dyDescent="0.2">
      <c r="A16" s="228" t="s">
        <v>253</v>
      </c>
      <c r="B16" s="230">
        <f>+Ingresos!J13</f>
        <v>13217841.82</v>
      </c>
      <c r="C16" s="231"/>
    </row>
    <row r="17" spans="1:4" ht="12" x14ac:dyDescent="0.2">
      <c r="A17" s="228"/>
      <c r="B17" s="332"/>
      <c r="C17" s="231"/>
    </row>
    <row r="18" spans="1:4" ht="12" x14ac:dyDescent="0.2">
      <c r="A18" s="226" t="s">
        <v>194</v>
      </c>
      <c r="B18" s="331"/>
      <c r="C18" s="682">
        <f>SUM(B19:B24)</f>
        <v>6236148928.6999998</v>
      </c>
    </row>
    <row r="19" spans="1:4" ht="12" x14ac:dyDescent="0.2">
      <c r="A19" s="228" t="s">
        <v>143</v>
      </c>
      <c r="B19" s="332">
        <f>+Consolidado!R13</f>
        <v>3548346881.77</v>
      </c>
      <c r="C19" s="232"/>
    </row>
    <row r="20" spans="1:4" ht="12" x14ac:dyDescent="0.2">
      <c r="A20" s="228" t="s">
        <v>145</v>
      </c>
      <c r="B20" s="332">
        <f>+Consolidado!R41</f>
        <v>1743092612.6799998</v>
      </c>
      <c r="C20" s="232"/>
    </row>
    <row r="21" spans="1:4" ht="12" x14ac:dyDescent="0.2">
      <c r="A21" s="228" t="s">
        <v>146</v>
      </c>
      <c r="B21" s="332">
        <f>+Consolidado!R89</f>
        <v>107390582.84999999</v>
      </c>
      <c r="C21" s="232"/>
    </row>
    <row r="22" spans="1:4" ht="12" x14ac:dyDescent="0.2">
      <c r="A22" s="228" t="s">
        <v>147</v>
      </c>
      <c r="B22" s="332">
        <f>+Consolidado!R117</f>
        <v>228609873.5</v>
      </c>
      <c r="C22" s="232"/>
    </row>
    <row r="23" spans="1:4" ht="12" x14ac:dyDescent="0.2">
      <c r="A23" s="228" t="s">
        <v>158</v>
      </c>
      <c r="B23" s="332">
        <f>+Consolidado!R131</f>
        <v>236757310.90000001</v>
      </c>
      <c r="C23" s="232"/>
    </row>
    <row r="24" spans="1:4" ht="12" x14ac:dyDescent="0.2">
      <c r="A24" s="228" t="s">
        <v>159</v>
      </c>
      <c r="B24" s="230">
        <f>+Consolidado!R147</f>
        <v>371951667</v>
      </c>
      <c r="C24" s="231"/>
    </row>
    <row r="25" spans="1:4" ht="12" x14ac:dyDescent="0.2">
      <c r="A25" s="228"/>
      <c r="B25" s="332"/>
      <c r="C25" s="233"/>
    </row>
    <row r="26" spans="1:4" ht="12" x14ac:dyDescent="0.2">
      <c r="A26" s="226" t="s">
        <v>195</v>
      </c>
      <c r="B26" s="331"/>
      <c r="C26" s="227">
        <f>C12-C18</f>
        <v>2452708685.6999998</v>
      </c>
      <c r="D26" s="117"/>
    </row>
    <row r="27" spans="1:4" ht="12" x14ac:dyDescent="0.2">
      <c r="A27" s="228" t="s">
        <v>241</v>
      </c>
      <c r="B27" s="331"/>
      <c r="C27" s="227">
        <f>+Ingresos!L33*-1</f>
        <v>7442406830.4899998</v>
      </c>
    </row>
    <row r="28" spans="1:4" ht="12" x14ac:dyDescent="0.2">
      <c r="A28" s="228" t="s">
        <v>452</v>
      </c>
      <c r="B28" s="331"/>
      <c r="C28" s="227">
        <f>8062987745.21-Ingresos!E33</f>
        <v>164856322.14000034</v>
      </c>
    </row>
    <row r="29" spans="1:4" ht="12" x14ac:dyDescent="0.2">
      <c r="A29" s="228"/>
      <c r="B29" s="331"/>
      <c r="C29" s="229"/>
    </row>
    <row r="30" spans="1:4" ht="16.5" customHeight="1" thickBot="1" x14ac:dyDescent="0.25">
      <c r="A30" s="555" t="s">
        <v>559</v>
      </c>
      <c r="B30" s="556"/>
      <c r="C30" s="683">
        <f>C26+C27+C28</f>
        <v>10059971838.329998</v>
      </c>
    </row>
    <row r="31" spans="1:4" ht="13.2" x14ac:dyDescent="0.25">
      <c r="A31" s="223"/>
      <c r="B31" s="223"/>
      <c r="C31" s="223"/>
    </row>
    <row r="32" spans="1:4" ht="14.4" x14ac:dyDescent="0.3">
      <c r="A32" s="895" t="s">
        <v>187</v>
      </c>
      <c r="B32" s="895"/>
    </row>
    <row r="33" spans="1:3" x14ac:dyDescent="0.2">
      <c r="C33" s="595"/>
    </row>
    <row r="34" spans="1:3" ht="13.8" x14ac:dyDescent="0.2">
      <c r="A34" s="16" t="s">
        <v>274</v>
      </c>
      <c r="C34" s="327"/>
    </row>
  </sheetData>
  <mergeCells count="7">
    <mergeCell ref="A2:C2"/>
    <mergeCell ref="B3:C3"/>
    <mergeCell ref="B5:C5"/>
    <mergeCell ref="A32:B32"/>
    <mergeCell ref="B9:C9"/>
    <mergeCell ref="B10:C10"/>
    <mergeCell ref="A8:C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08ED-A7BF-4153-AABF-D0F87C76B58F}">
  <sheetPr>
    <tabColor theme="5" tint="0.79998168889431442"/>
  </sheetPr>
  <dimension ref="A1:P37"/>
  <sheetViews>
    <sheetView tabSelected="1" zoomScale="90" zoomScaleNormal="90" workbookViewId="0">
      <selection activeCell="C27" sqref="C26:C27"/>
    </sheetView>
  </sheetViews>
  <sheetFormatPr baseColWidth="10" defaultColWidth="12" defaultRowHeight="12" customHeight="1" x14ac:dyDescent="0.3"/>
  <cols>
    <col min="1" max="1" width="37.42578125" style="9" customWidth="1"/>
    <col min="2" max="2" width="25.5703125" style="10" bestFit="1" customWidth="1"/>
    <col min="3" max="3" width="23.42578125" style="9" bestFit="1" customWidth="1"/>
    <col min="4" max="4" width="21.42578125" style="70" customWidth="1"/>
    <col min="5" max="6" width="23.42578125" style="70" bestFit="1" customWidth="1"/>
    <col min="7" max="7" width="21.42578125" style="70" customWidth="1"/>
    <col min="8" max="8" width="23.42578125" style="6" bestFit="1" customWidth="1"/>
    <col min="9" max="10" width="21.42578125" style="6" customWidth="1"/>
    <col min="11" max="11" width="25.5703125" style="6" bestFit="1" customWidth="1"/>
    <col min="12" max="12" width="29.42578125" style="6" customWidth="1"/>
    <col min="13" max="13" width="13.42578125" style="6" bestFit="1" customWidth="1"/>
    <col min="14" max="14" width="21.42578125" style="6" customWidth="1"/>
    <col min="15" max="15" width="22" style="6" customWidth="1"/>
    <col min="16" max="16" width="17.140625" style="6" bestFit="1" customWidth="1"/>
    <col min="17" max="16384" width="12" style="6"/>
  </cols>
  <sheetData>
    <row r="1" spans="1:15" ht="27" customHeight="1" x14ac:dyDescent="0.3">
      <c r="A1" s="914"/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</row>
    <row r="2" spans="1:15" s="7" customFormat="1" ht="14.4" x14ac:dyDescent="0.2">
      <c r="A2" s="61"/>
      <c r="C2" s="187"/>
      <c r="D2" s="187"/>
      <c r="E2" s="915" t="s">
        <v>221</v>
      </c>
      <c r="F2" s="915"/>
      <c r="G2" s="915"/>
      <c r="H2" s="915"/>
      <c r="I2" s="915"/>
      <c r="J2" s="915"/>
      <c r="K2" s="915"/>
      <c r="L2" s="915"/>
      <c r="M2" s="915"/>
    </row>
    <row r="3" spans="1:15" s="7" customFormat="1" ht="14.4" x14ac:dyDescent="0.2">
      <c r="A3" s="61"/>
      <c r="C3" s="187"/>
      <c r="D3" s="187"/>
      <c r="E3" s="915" t="s">
        <v>453</v>
      </c>
      <c r="F3" s="915"/>
      <c r="G3" s="915"/>
      <c r="H3" s="915"/>
      <c r="I3" s="915"/>
      <c r="J3" s="915"/>
      <c r="K3" s="915"/>
      <c r="L3" s="915"/>
      <c r="M3" s="915"/>
    </row>
    <row r="4" spans="1:15" s="7" customFormat="1" ht="14.4" x14ac:dyDescent="0.2">
      <c r="A4" s="61"/>
      <c r="C4" s="187"/>
      <c r="D4" s="187"/>
      <c r="E4" s="915" t="s">
        <v>153</v>
      </c>
      <c r="F4" s="915"/>
      <c r="G4" s="915"/>
      <c r="H4" s="915"/>
      <c r="I4" s="915"/>
      <c r="J4" s="915"/>
      <c r="K4" s="915"/>
      <c r="L4" s="915"/>
      <c r="M4" s="915"/>
    </row>
    <row r="5" spans="1:15" s="7" customFormat="1" ht="14.4" x14ac:dyDescent="0.2">
      <c r="A5" s="61"/>
      <c r="C5" s="187"/>
      <c r="D5" s="187"/>
      <c r="E5" s="183"/>
      <c r="F5" s="183"/>
      <c r="G5" s="183"/>
      <c r="H5" s="183"/>
      <c r="I5" s="183"/>
      <c r="J5" s="183"/>
      <c r="K5" s="183"/>
      <c r="L5" s="183"/>
      <c r="M5" s="183"/>
    </row>
    <row r="6" spans="1:15" s="7" customFormat="1" ht="14.4" x14ac:dyDescent="0.2">
      <c r="A6" s="61"/>
      <c r="C6" s="187"/>
      <c r="D6" s="187"/>
      <c r="E6" s="915" t="str">
        <f>Ingresos!E6</f>
        <v>AL 30 DE JUNIO DEL 2026</v>
      </c>
      <c r="F6" s="915"/>
      <c r="G6" s="915"/>
      <c r="H6" s="915"/>
      <c r="I6" s="915"/>
      <c r="J6" s="915"/>
      <c r="K6" s="915"/>
      <c r="L6" s="915"/>
      <c r="M6" s="915"/>
    </row>
    <row r="7" spans="1:15" s="7" customFormat="1" ht="21.6" customHeight="1" x14ac:dyDescent="0.2">
      <c r="A7" s="183"/>
      <c r="B7" s="183"/>
      <c r="C7" s="183"/>
      <c r="D7" s="183"/>
      <c r="E7" s="183"/>
      <c r="F7" s="183"/>
      <c r="G7" s="183"/>
      <c r="H7" s="61"/>
      <c r="I7" s="61"/>
      <c r="J7" s="61"/>
      <c r="K7" s="184"/>
      <c r="L7" s="192"/>
      <c r="M7" s="185"/>
    </row>
    <row r="8" spans="1:15" s="7" customFormat="1" ht="31.5" customHeight="1" x14ac:dyDescent="0.2">
      <c r="A8" s="685"/>
      <c r="B8" s="902" t="s">
        <v>173</v>
      </c>
      <c r="C8" s="903"/>
      <c r="D8" s="904"/>
      <c r="E8" s="905" t="s">
        <v>172</v>
      </c>
      <c r="F8" s="906"/>
      <c r="G8" s="907"/>
      <c r="H8" s="908" t="s">
        <v>176</v>
      </c>
      <c r="I8" s="909"/>
      <c r="J8" s="910"/>
      <c r="K8" s="911" t="s">
        <v>154</v>
      </c>
      <c r="L8" s="912"/>
      <c r="M8" s="913"/>
    </row>
    <row r="9" spans="1:15" s="8" customFormat="1" ht="21" customHeight="1" x14ac:dyDescent="0.2">
      <c r="A9" s="686"/>
      <c r="B9" s="687" t="s">
        <v>174</v>
      </c>
      <c r="C9" s="688" t="s">
        <v>175</v>
      </c>
      <c r="D9" s="689" t="s">
        <v>155</v>
      </c>
      <c r="E9" s="687" t="s">
        <v>174</v>
      </c>
      <c r="F9" s="688" t="s">
        <v>175</v>
      </c>
      <c r="G9" s="689" t="s">
        <v>155</v>
      </c>
      <c r="H9" s="687" t="s">
        <v>174</v>
      </c>
      <c r="I9" s="688" t="s">
        <v>175</v>
      </c>
      <c r="J9" s="689" t="s">
        <v>155</v>
      </c>
      <c r="K9" s="687" t="s">
        <v>174</v>
      </c>
      <c r="L9" s="688" t="s">
        <v>175</v>
      </c>
      <c r="M9" s="689" t="s">
        <v>155</v>
      </c>
    </row>
    <row r="10" spans="1:15" s="8" customFormat="1" ht="42.75" customHeight="1" x14ac:dyDescent="0.2">
      <c r="A10" s="690" t="s">
        <v>275</v>
      </c>
      <c r="B10" s="691"/>
      <c r="C10" s="692"/>
      <c r="D10" s="693"/>
      <c r="E10" s="694"/>
      <c r="F10" s="692"/>
      <c r="G10" s="693"/>
      <c r="H10" s="691"/>
      <c r="I10" s="692"/>
      <c r="J10" s="693"/>
      <c r="K10" s="691"/>
      <c r="L10" s="692"/>
      <c r="M10" s="693"/>
    </row>
    <row r="11" spans="1:15" s="8" customFormat="1" ht="19.2" customHeight="1" x14ac:dyDescent="0.2">
      <c r="A11" s="695" t="s">
        <v>143</v>
      </c>
      <c r="B11" s="696">
        <f>+'Prog 1'!L13</f>
        <v>2952135002.75</v>
      </c>
      <c r="C11" s="697">
        <f>+'Prog 1'!Q13</f>
        <v>1287306692.01</v>
      </c>
      <c r="D11" s="698">
        <f>C11/B11</f>
        <v>0.43605956055899753</v>
      </c>
      <c r="E11" s="696">
        <f>+'Prog 2'!L13</f>
        <v>3785047604.3000002</v>
      </c>
      <c r="F11" s="697">
        <f>+'Prog 2'!Q13</f>
        <v>1519313425.3099997</v>
      </c>
      <c r="G11" s="698">
        <f>F11/E11</f>
        <v>0.40139876274844866</v>
      </c>
      <c r="H11" s="696">
        <f>+'Prog 3'!L13</f>
        <v>1828280983.7</v>
      </c>
      <c r="I11" s="697">
        <f>+'Prog 3'!Q13</f>
        <v>741726764.45000005</v>
      </c>
      <c r="J11" s="699">
        <f>I11/H11</f>
        <v>0.40569626390191066</v>
      </c>
      <c r="K11" s="696">
        <f>B11+E11+H11</f>
        <v>8565463590.75</v>
      </c>
      <c r="L11" s="700">
        <f>C11+F11+I11</f>
        <v>3548346881.7699995</v>
      </c>
      <c r="M11" s="701">
        <f>L11/K11</f>
        <v>0.41426209383481871</v>
      </c>
      <c r="O11" s="102"/>
    </row>
    <row r="12" spans="1:15" s="8" customFormat="1" ht="19.2" customHeight="1" x14ac:dyDescent="0.2">
      <c r="A12" s="695" t="s">
        <v>145</v>
      </c>
      <c r="B12" s="696">
        <f>+'Prog 1'!L41-B22</f>
        <v>4529216747.8999996</v>
      </c>
      <c r="C12" s="697">
        <f>+'Prog 1'!Q41</f>
        <v>1481998886.3499999</v>
      </c>
      <c r="D12" s="698">
        <f>C12/B12</f>
        <v>0.32720864750779222</v>
      </c>
      <c r="E12" s="696">
        <f>+'Prog 2'!L41</f>
        <v>1061055734</v>
      </c>
      <c r="F12" s="697">
        <f>+'Prog 2'!Q41</f>
        <v>225657552.44000003</v>
      </c>
      <c r="G12" s="698">
        <f t="shared" ref="G12:G15" si="0">F12/E12</f>
        <v>0.21267266667445389</v>
      </c>
      <c r="H12" s="696">
        <f>+'Prog 3'!L41</f>
        <v>179395000</v>
      </c>
      <c r="I12" s="697">
        <f>+'Prog 3'!Q41</f>
        <v>35436173.890000001</v>
      </c>
      <c r="J12" s="699">
        <f t="shared" ref="J12:J18" si="1">I12/H12</f>
        <v>0.19753155823740906</v>
      </c>
      <c r="K12" s="696">
        <f t="shared" ref="K12:K17" si="2">B12+E12+H12</f>
        <v>5769667481.8999996</v>
      </c>
      <c r="L12" s="700">
        <f t="shared" ref="L12:L17" si="3">C12+F12+I12</f>
        <v>1743092612.6800001</v>
      </c>
      <c r="M12" s="701">
        <f t="shared" ref="M12:M13" si="4">L12/K12</f>
        <v>0.3021131838443461</v>
      </c>
    </row>
    <row r="13" spans="1:15" s="8" customFormat="1" ht="19.2" customHeight="1" x14ac:dyDescent="0.2">
      <c r="A13" s="695" t="s">
        <v>156</v>
      </c>
      <c r="B13" s="696">
        <f>+'Prog 1'!L89</f>
        <v>93260000</v>
      </c>
      <c r="C13" s="697">
        <f>+'Prog 1'!Q89</f>
        <v>21430212.459999997</v>
      </c>
      <c r="D13" s="698">
        <f t="shared" ref="D13:D15" si="5">C13/B13</f>
        <v>0.2297899684752305</v>
      </c>
      <c r="E13" s="696">
        <f>+'Prog 2'!L89</f>
        <v>216255000</v>
      </c>
      <c r="F13" s="697">
        <f>+'Prog 2'!Q89</f>
        <v>85960370.390000015</v>
      </c>
      <c r="G13" s="698">
        <f t="shared" si="0"/>
        <v>0.39749541231416624</v>
      </c>
      <c r="H13" s="696">
        <f>+'Prog 3'!L89</f>
        <v>0</v>
      </c>
      <c r="I13" s="697">
        <f>+'Prog 3'!Q89</f>
        <v>0</v>
      </c>
      <c r="J13" s="699">
        <v>0</v>
      </c>
      <c r="K13" s="696">
        <f t="shared" si="2"/>
        <v>309515000</v>
      </c>
      <c r="L13" s="700">
        <f t="shared" si="3"/>
        <v>107390582.85000001</v>
      </c>
      <c r="M13" s="701">
        <f t="shared" si="4"/>
        <v>0.34696406587725959</v>
      </c>
    </row>
    <row r="14" spans="1:15" s="8" customFormat="1" ht="19.2" customHeight="1" x14ac:dyDescent="0.2">
      <c r="A14" s="695" t="s">
        <v>157</v>
      </c>
      <c r="B14" s="696">
        <f>+'Prog 1'!L117-B26</f>
        <v>94161999.799999237</v>
      </c>
      <c r="C14" s="697">
        <f>+'Prog 1'!Q117-C26</f>
        <v>94161616.120000005</v>
      </c>
      <c r="D14" s="698">
        <v>0</v>
      </c>
      <c r="E14" s="696">
        <f>+'Prog 2'!L117</f>
        <v>0</v>
      </c>
      <c r="F14" s="697">
        <f>+'Prog 2'!Q120</f>
        <v>0</v>
      </c>
      <c r="G14" s="698">
        <v>0</v>
      </c>
      <c r="H14" s="696">
        <f>+'Prog 3'!L117-H26</f>
        <v>0</v>
      </c>
      <c r="I14" s="697">
        <f>+'Prog 3'!Q117</f>
        <v>0</v>
      </c>
      <c r="J14" s="699">
        <v>0</v>
      </c>
      <c r="K14" s="696">
        <f t="shared" si="2"/>
        <v>94161999.799999237</v>
      </c>
      <c r="L14" s="700">
        <f t="shared" si="3"/>
        <v>94161616.120000005</v>
      </c>
      <c r="M14" s="701">
        <v>0</v>
      </c>
      <c r="N14" s="68"/>
    </row>
    <row r="15" spans="1:15" s="8" customFormat="1" ht="19.2" customHeight="1" x14ac:dyDescent="0.2">
      <c r="A15" s="695" t="s">
        <v>158</v>
      </c>
      <c r="B15" s="696">
        <f>+'Prog 1'!L131-B27</f>
        <v>278142660</v>
      </c>
      <c r="C15" s="697">
        <f>+'Prog 1'!Q131-C27</f>
        <v>114219356.72999999</v>
      </c>
      <c r="D15" s="698">
        <f t="shared" si="5"/>
        <v>0.41065026389695125</v>
      </c>
      <c r="E15" s="696">
        <f>+'Prog 2'!L131</f>
        <v>186500000</v>
      </c>
      <c r="F15" s="697">
        <f>+'Prog 2'!Q131</f>
        <v>33604874.25</v>
      </c>
      <c r="G15" s="698">
        <f t="shared" si="0"/>
        <v>0.18018699329758714</v>
      </c>
      <c r="H15" s="696">
        <f>+'Prog 3'!L131</f>
        <v>100000000</v>
      </c>
      <c r="I15" s="697">
        <f>+'Prog 3'!Q131</f>
        <v>9069768.5199999996</v>
      </c>
      <c r="J15" s="699">
        <f t="shared" si="1"/>
        <v>9.0697685199999989E-2</v>
      </c>
      <c r="K15" s="696">
        <f t="shared" si="2"/>
        <v>564642660</v>
      </c>
      <c r="L15" s="700">
        <f t="shared" si="3"/>
        <v>156893999.5</v>
      </c>
      <c r="M15" s="701">
        <f t="shared" ref="M15:M18" si="6">L15/K15</f>
        <v>0.27786423275209138</v>
      </c>
      <c r="N15" s="68"/>
    </row>
    <row r="16" spans="1:15" s="8" customFormat="1" ht="19.2" customHeight="1" x14ac:dyDescent="0.2">
      <c r="A16" s="695" t="s">
        <v>159</v>
      </c>
      <c r="B16" s="696">
        <f>+'Prog 1'!L147-B28</f>
        <v>410995759</v>
      </c>
      <c r="C16" s="697">
        <f>+'Prog 1'!Q147-C28</f>
        <v>130538642.5</v>
      </c>
      <c r="D16" s="698">
        <v>0</v>
      </c>
      <c r="E16" s="696">
        <f>+'Prog 2'!L147</f>
        <v>0</v>
      </c>
      <c r="F16" s="697">
        <f>+'Prog 2'!Q147</f>
        <v>0</v>
      </c>
      <c r="G16" s="698">
        <v>0</v>
      </c>
      <c r="H16" s="696">
        <f>+'Prog 3'!L147</f>
        <v>0</v>
      </c>
      <c r="I16" s="697">
        <f>+'Prog 3'!Q147</f>
        <v>0</v>
      </c>
      <c r="J16" s="699">
        <v>0</v>
      </c>
      <c r="K16" s="696">
        <f t="shared" si="2"/>
        <v>410995759</v>
      </c>
      <c r="L16" s="700">
        <f t="shared" si="3"/>
        <v>130538642.5</v>
      </c>
      <c r="M16" s="701">
        <f t="shared" si="6"/>
        <v>0.31761554624703559</v>
      </c>
      <c r="N16" s="68"/>
    </row>
    <row r="17" spans="1:16" s="8" customFormat="1" ht="19.2" customHeight="1" x14ac:dyDescent="0.2">
      <c r="A17" s="695" t="s">
        <v>160</v>
      </c>
      <c r="B17" s="696">
        <f>+'Prog 1'!L151</f>
        <v>725383868.35000002</v>
      </c>
      <c r="C17" s="697">
        <f>+'Prog 1'!Q151</f>
        <v>0</v>
      </c>
      <c r="D17" s="698">
        <v>0</v>
      </c>
      <c r="E17" s="696">
        <f>+'Prog 2'!L151</f>
        <v>0</v>
      </c>
      <c r="F17" s="697">
        <f>+'Prog 2'!Q151</f>
        <v>0</v>
      </c>
      <c r="G17" s="698">
        <v>0</v>
      </c>
      <c r="H17" s="696">
        <f>+'Prog 3'!L151</f>
        <v>0</v>
      </c>
      <c r="I17" s="697">
        <f>+'Prog 3'!Q151</f>
        <v>0</v>
      </c>
      <c r="J17" s="699">
        <v>0</v>
      </c>
      <c r="K17" s="696">
        <f t="shared" si="2"/>
        <v>725383868.35000002</v>
      </c>
      <c r="L17" s="700">
        <f t="shared" si="3"/>
        <v>0</v>
      </c>
      <c r="M17" s="701">
        <v>0</v>
      </c>
      <c r="N17" s="68"/>
    </row>
    <row r="18" spans="1:16" s="8" customFormat="1" ht="19.2" customHeight="1" x14ac:dyDescent="0.2">
      <c r="A18" s="702" t="s">
        <v>131</v>
      </c>
      <c r="B18" s="703">
        <f>SUM(B11:B17)</f>
        <v>9083296037.7999992</v>
      </c>
      <c r="C18" s="704">
        <f>SUM(C11:C17)</f>
        <v>3129655406.1699996</v>
      </c>
      <c r="D18" s="705">
        <f>C18/B18</f>
        <v>0.34455063372876826</v>
      </c>
      <c r="E18" s="703">
        <f>SUM(E11:E17)</f>
        <v>5248858338.3000002</v>
      </c>
      <c r="F18" s="704">
        <f>SUM(F11:F17)</f>
        <v>1864536222.3899999</v>
      </c>
      <c r="G18" s="705">
        <f>F18/E18</f>
        <v>0.35522700408673741</v>
      </c>
      <c r="H18" s="703">
        <f>SUM(H11:H17)</f>
        <v>2107675983.7</v>
      </c>
      <c r="I18" s="703">
        <f>SUM(I11:I17)</f>
        <v>786232706.86000001</v>
      </c>
      <c r="J18" s="706">
        <f t="shared" si="1"/>
        <v>0.37303300551908264</v>
      </c>
      <c r="K18" s="703">
        <f>SUM(K11:K17)</f>
        <v>16439830359.799999</v>
      </c>
      <c r="L18" s="707">
        <f>SUM(L11:L17)</f>
        <v>5780424335.4200001</v>
      </c>
      <c r="M18" s="708">
        <f t="shared" si="6"/>
        <v>0.35161094785714825</v>
      </c>
      <c r="N18" s="102"/>
      <c r="O18" s="68"/>
      <c r="P18" s="68"/>
    </row>
    <row r="19" spans="1:16" s="8" customFormat="1" ht="19.2" customHeight="1" x14ac:dyDescent="0.2">
      <c r="A19" s="702" t="s">
        <v>161</v>
      </c>
      <c r="B19" s="709">
        <f>B18/K18</f>
        <v>0.55251762572995933</v>
      </c>
      <c r="C19" s="710">
        <f>C18/L18</f>
        <v>0.54142312476833099</v>
      </c>
      <c r="D19" s="705"/>
      <c r="E19" s="711">
        <f>E18/K18</f>
        <v>0.31927691608880177</v>
      </c>
      <c r="F19" s="712">
        <f>F18/L18</f>
        <v>0.32256044092903507</v>
      </c>
      <c r="G19" s="705"/>
      <c r="H19" s="713">
        <f>H18/K18</f>
        <v>0.12820545818123888</v>
      </c>
      <c r="I19" s="714">
        <f>I18/L18</f>
        <v>0.1360164343026338</v>
      </c>
      <c r="J19" s="715"/>
      <c r="K19" s="709">
        <f>B19+E19+H19</f>
        <v>1</v>
      </c>
      <c r="L19" s="709">
        <f>C19+F19+I19</f>
        <v>0.99999999999999978</v>
      </c>
      <c r="M19" s="708"/>
      <c r="N19" s="68"/>
    </row>
    <row r="20" spans="1:16" s="8" customFormat="1" ht="13.5" customHeight="1" x14ac:dyDescent="0.2">
      <c r="A20" s="716"/>
      <c r="B20" s="717"/>
      <c r="C20" s="718"/>
      <c r="D20" s="719"/>
      <c r="E20" s="720"/>
      <c r="F20" s="721"/>
      <c r="G20" s="719"/>
      <c r="H20" s="717"/>
      <c r="I20" s="718"/>
      <c r="J20" s="719"/>
      <c r="K20" s="717"/>
      <c r="L20" s="722"/>
      <c r="M20" s="723"/>
    </row>
    <row r="21" spans="1:16" s="8" customFormat="1" ht="19.2" customHeight="1" x14ac:dyDescent="0.2">
      <c r="A21" s="724" t="s">
        <v>13</v>
      </c>
      <c r="B21" s="725"/>
      <c r="C21" s="726"/>
      <c r="D21" s="727"/>
      <c r="E21" s="728"/>
      <c r="F21" s="729"/>
      <c r="G21" s="727"/>
      <c r="H21" s="725"/>
      <c r="I21" s="726"/>
      <c r="J21" s="727"/>
      <c r="K21" s="725"/>
      <c r="L21" s="730"/>
      <c r="M21" s="731"/>
    </row>
    <row r="22" spans="1:16" s="8" customFormat="1" ht="19.2" customHeight="1" x14ac:dyDescent="0.2">
      <c r="A22" s="695" t="s">
        <v>145</v>
      </c>
      <c r="B22" s="696">
        <v>1000</v>
      </c>
      <c r="C22" s="697">
        <v>0</v>
      </c>
      <c r="D22" s="698"/>
      <c r="E22" s="696">
        <v>0</v>
      </c>
      <c r="F22" s="697">
        <v>0</v>
      </c>
      <c r="G22" s="732">
        <v>0</v>
      </c>
      <c r="H22" s="696">
        <v>0</v>
      </c>
      <c r="I22" s="697">
        <v>0</v>
      </c>
      <c r="J22" s="732">
        <v>0</v>
      </c>
      <c r="K22" s="696">
        <f>B22+E22+H22</f>
        <v>1000</v>
      </c>
      <c r="L22" s="700">
        <f>C22+F22+I22</f>
        <v>0</v>
      </c>
      <c r="M22" s="701">
        <f t="shared" ref="M22" si="7">L22/K22</f>
        <v>0</v>
      </c>
    </row>
    <row r="23" spans="1:16" s="8" customFormat="1" ht="19.2" customHeight="1" x14ac:dyDescent="0.2">
      <c r="A23" s="733" t="s">
        <v>161</v>
      </c>
      <c r="B23" s="734"/>
      <c r="C23" s="735"/>
      <c r="D23" s="736"/>
      <c r="E23" s="737"/>
      <c r="F23" s="735"/>
      <c r="G23" s="736"/>
      <c r="H23" s="738"/>
      <c r="I23" s="739"/>
      <c r="J23" s="740"/>
      <c r="K23" s="741">
        <f>B23+E23+H23</f>
        <v>0</v>
      </c>
      <c r="L23" s="742"/>
      <c r="M23" s="743"/>
    </row>
    <row r="24" spans="1:16" s="8" customFormat="1" ht="15" customHeight="1" x14ac:dyDescent="0.2">
      <c r="A24" s="744"/>
      <c r="B24" s="745"/>
      <c r="C24" s="746"/>
      <c r="D24" s="747"/>
      <c r="E24" s="720"/>
      <c r="F24" s="721"/>
      <c r="G24" s="719"/>
      <c r="H24" s="717"/>
      <c r="I24" s="718"/>
      <c r="J24" s="719"/>
      <c r="K24" s="717"/>
      <c r="L24" s="722"/>
      <c r="M24" s="723"/>
    </row>
    <row r="25" spans="1:16" s="8" customFormat="1" ht="19.2" customHeight="1" x14ac:dyDescent="0.2">
      <c r="A25" s="748" t="s">
        <v>162</v>
      </c>
      <c r="B25" s="749"/>
      <c r="C25" s="750"/>
      <c r="D25" s="751"/>
      <c r="E25" s="752"/>
      <c r="F25" s="753"/>
      <c r="G25" s="751"/>
      <c r="H25" s="749"/>
      <c r="I25" s="750"/>
      <c r="J25" s="754"/>
      <c r="K25" s="749"/>
      <c r="L25" s="755"/>
      <c r="M25" s="756"/>
    </row>
    <row r="26" spans="1:16" s="8" customFormat="1" ht="19.2" customHeight="1" x14ac:dyDescent="0.2">
      <c r="A26" s="695" t="s">
        <v>157</v>
      </c>
      <c r="B26" s="696">
        <v>6389127182.2700005</v>
      </c>
      <c r="C26" s="697">
        <v>134448257.38</v>
      </c>
      <c r="D26" s="698">
        <f>C26/B26</f>
        <v>2.1043290193549054E-2</v>
      </c>
      <c r="E26" s="757">
        <v>0</v>
      </c>
      <c r="F26" s="758">
        <v>0</v>
      </c>
      <c r="G26" s="698">
        <v>0</v>
      </c>
      <c r="H26" s="759">
        <v>0</v>
      </c>
      <c r="I26" s="697">
        <v>0</v>
      </c>
      <c r="J26" s="760">
        <v>0</v>
      </c>
      <c r="K26" s="696">
        <f t="shared" ref="K26:L29" si="8">B26+E26+H26</f>
        <v>6389127182.2700005</v>
      </c>
      <c r="L26" s="700">
        <f t="shared" si="8"/>
        <v>134448257.38</v>
      </c>
      <c r="M26" s="701">
        <f t="shared" ref="M26:M30" si="9">L26/K26</f>
        <v>2.1043290193549054E-2</v>
      </c>
      <c r="N26" s="68"/>
    </row>
    <row r="27" spans="1:16" s="8" customFormat="1" ht="19.2" customHeight="1" x14ac:dyDescent="0.2">
      <c r="A27" s="695" t="s">
        <v>158</v>
      </c>
      <c r="B27" s="696">
        <v>120000000</v>
      </c>
      <c r="C27" s="697">
        <v>79863311.400000006</v>
      </c>
      <c r="D27" s="698">
        <f>C27/B27</f>
        <v>0.66552759500000003</v>
      </c>
      <c r="E27" s="757">
        <v>0</v>
      </c>
      <c r="F27" s="758">
        <v>0</v>
      </c>
      <c r="G27" s="698">
        <v>0</v>
      </c>
      <c r="H27" s="759">
        <v>0</v>
      </c>
      <c r="I27" s="697">
        <v>0</v>
      </c>
      <c r="J27" s="760">
        <v>0</v>
      </c>
      <c r="K27" s="696">
        <f t="shared" si="8"/>
        <v>120000000</v>
      </c>
      <c r="L27" s="700">
        <f t="shared" si="8"/>
        <v>79863311.400000006</v>
      </c>
      <c r="M27" s="701">
        <f t="shared" si="9"/>
        <v>0.66552759500000003</v>
      </c>
      <c r="N27" s="68"/>
      <c r="O27" s="68"/>
    </row>
    <row r="28" spans="1:16" s="7" customFormat="1" ht="19.2" customHeight="1" x14ac:dyDescent="0.2">
      <c r="A28" s="695" t="s">
        <v>159</v>
      </c>
      <c r="B28" s="696">
        <v>1389004241</v>
      </c>
      <c r="C28" s="697">
        <v>241413024.5</v>
      </c>
      <c r="D28" s="698">
        <v>0</v>
      </c>
      <c r="E28" s="757">
        <v>0</v>
      </c>
      <c r="F28" s="758">
        <v>0</v>
      </c>
      <c r="G28" s="698">
        <v>0</v>
      </c>
      <c r="H28" s="696">
        <v>0</v>
      </c>
      <c r="I28" s="697">
        <f>'[1]E Superávit'!J15</f>
        <v>0</v>
      </c>
      <c r="J28" s="699">
        <v>0</v>
      </c>
      <c r="K28" s="696">
        <f t="shared" si="8"/>
        <v>1389004241</v>
      </c>
      <c r="L28" s="700">
        <f t="shared" si="8"/>
        <v>241413024.5</v>
      </c>
      <c r="M28" s="701">
        <f t="shared" si="9"/>
        <v>0.17380294269382293</v>
      </c>
      <c r="N28" s="68"/>
    </row>
    <row r="29" spans="1:16" s="8" customFormat="1" ht="19.2" customHeight="1" x14ac:dyDescent="0.2">
      <c r="A29" s="695" t="s">
        <v>160</v>
      </c>
      <c r="B29" s="696">
        <v>0</v>
      </c>
      <c r="C29" s="697">
        <v>0</v>
      </c>
      <c r="D29" s="698">
        <v>0</v>
      </c>
      <c r="E29" s="757">
        <v>0</v>
      </c>
      <c r="F29" s="758">
        <v>0</v>
      </c>
      <c r="G29" s="698">
        <v>0</v>
      </c>
      <c r="H29" s="696">
        <v>0</v>
      </c>
      <c r="I29" s="697">
        <v>0</v>
      </c>
      <c r="J29" s="699">
        <v>0</v>
      </c>
      <c r="K29" s="696">
        <f t="shared" si="8"/>
        <v>0</v>
      </c>
      <c r="L29" s="700">
        <f t="shared" si="8"/>
        <v>0</v>
      </c>
      <c r="M29" s="701"/>
      <c r="N29" s="68"/>
      <c r="O29" s="68"/>
    </row>
    <row r="30" spans="1:16" ht="19.2" customHeight="1" x14ac:dyDescent="0.3">
      <c r="A30" s="702" t="s">
        <v>131</v>
      </c>
      <c r="B30" s="703">
        <f>SUM(B26:B29)</f>
        <v>7898131423.2700005</v>
      </c>
      <c r="C30" s="704">
        <f>SUM(C26:C29)</f>
        <v>455724593.27999997</v>
      </c>
      <c r="D30" s="705">
        <f>C30/B30</f>
        <v>5.7700305155383186E-2</v>
      </c>
      <c r="E30" s="761">
        <f>SUM(E26:E29)</f>
        <v>0</v>
      </c>
      <c r="F30" s="762">
        <f>SUM(F26:F29)</f>
        <v>0</v>
      </c>
      <c r="G30" s="705">
        <v>0</v>
      </c>
      <c r="H30" s="703">
        <f>SUM(H26:H29)</f>
        <v>0</v>
      </c>
      <c r="I30" s="704">
        <f>SUM(I26:I29)</f>
        <v>0</v>
      </c>
      <c r="J30" s="706">
        <v>0</v>
      </c>
      <c r="K30" s="703">
        <f>SUM(K26:K29)</f>
        <v>7898131423.2700005</v>
      </c>
      <c r="L30" s="707">
        <f>SUM(L26:L29)</f>
        <v>455724593.27999997</v>
      </c>
      <c r="M30" s="708">
        <f t="shared" si="9"/>
        <v>5.7700305155383186E-2</v>
      </c>
      <c r="N30" s="69"/>
      <c r="O30" s="68"/>
      <c r="P30" s="10"/>
    </row>
    <row r="31" spans="1:16" ht="19.2" customHeight="1" x14ac:dyDescent="0.3">
      <c r="A31" s="702" t="s">
        <v>161</v>
      </c>
      <c r="B31" s="709">
        <f>B30/K30</f>
        <v>1</v>
      </c>
      <c r="C31" s="710">
        <f>C30/L30</f>
        <v>1</v>
      </c>
      <c r="D31" s="705"/>
      <c r="E31" s="711">
        <f>E30/K30</f>
        <v>0</v>
      </c>
      <c r="F31" s="712">
        <f>F30/L30</f>
        <v>0</v>
      </c>
      <c r="G31" s="705"/>
      <c r="H31" s="709">
        <f>H30/K30</f>
        <v>0</v>
      </c>
      <c r="I31" s="710">
        <f>I30/L30</f>
        <v>0</v>
      </c>
      <c r="J31" s="705"/>
      <c r="K31" s="709">
        <f>B31+E31+H31</f>
        <v>1</v>
      </c>
      <c r="L31" s="709">
        <f>C31+F31+I31</f>
        <v>1</v>
      </c>
      <c r="M31" s="708"/>
      <c r="O31" s="10"/>
    </row>
    <row r="32" spans="1:16" ht="23.25" customHeight="1" x14ac:dyDescent="0.3">
      <c r="A32" s="763" t="s">
        <v>130</v>
      </c>
      <c r="B32" s="764">
        <f>B18+B22+B30</f>
        <v>16981428461.07</v>
      </c>
      <c r="C32" s="764">
        <f>C18+C22+C30</f>
        <v>3585379999.4499998</v>
      </c>
      <c r="D32" s="765">
        <f>C32/B32</f>
        <v>0.21113535929380142</v>
      </c>
      <c r="E32" s="764">
        <f>E18+E22+E30</f>
        <v>5248858338.3000002</v>
      </c>
      <c r="F32" s="764">
        <f>F18+F22+F30</f>
        <v>1864536222.3899999</v>
      </c>
      <c r="G32" s="765">
        <f>F32/E32</f>
        <v>0.35522700408673741</v>
      </c>
      <c r="H32" s="764">
        <f>H18+H22+H30</f>
        <v>2107675983.7</v>
      </c>
      <c r="I32" s="764">
        <f>I18+I22+I30</f>
        <v>786232706.86000001</v>
      </c>
      <c r="J32" s="766">
        <f>I32/H32</f>
        <v>0.37303300551908264</v>
      </c>
      <c r="K32" s="764">
        <f>K18+K22+K30</f>
        <v>24337962783.07</v>
      </c>
      <c r="L32" s="767">
        <f>L18+L22+L30</f>
        <v>6236148928.6999998</v>
      </c>
      <c r="M32" s="768">
        <f>L32/K32</f>
        <v>0.25623134459873514</v>
      </c>
    </row>
    <row r="33" spans="1:13" ht="21" customHeight="1" x14ac:dyDescent="0.3">
      <c r="A33" s="763" t="s">
        <v>161</v>
      </c>
      <c r="B33" s="769">
        <f>B32/K32</f>
        <v>0.69773417818202266</v>
      </c>
      <c r="C33" s="770">
        <f>C32/L32</f>
        <v>0.57493495431922204</v>
      </c>
      <c r="D33" s="771"/>
      <c r="E33" s="772">
        <f>E32/K32</f>
        <v>0.21566547640344066</v>
      </c>
      <c r="F33" s="770">
        <f>F32/L32</f>
        <v>0.29898840513718855</v>
      </c>
      <c r="G33" s="771"/>
      <c r="H33" s="769">
        <f>H32/K32</f>
        <v>8.6600345414536664E-2</v>
      </c>
      <c r="I33" s="770">
        <f>I32/L32</f>
        <v>0.12607664054358941</v>
      </c>
      <c r="J33" s="771"/>
      <c r="K33" s="770">
        <f>B33+E33+H33</f>
        <v>1</v>
      </c>
      <c r="L33" s="770">
        <f>C33+F33+I33</f>
        <v>1</v>
      </c>
      <c r="M33" s="773"/>
    </row>
    <row r="34" spans="1:13" ht="12" customHeight="1" x14ac:dyDescent="0.3">
      <c r="A34" s="18"/>
      <c r="B34" s="24"/>
      <c r="C34" s="18"/>
      <c r="D34" s="132"/>
      <c r="E34" s="132"/>
      <c r="F34" s="132"/>
      <c r="G34" s="132"/>
      <c r="H34" s="43"/>
      <c r="I34" s="43"/>
      <c r="J34" s="43"/>
      <c r="K34" s="43"/>
      <c r="L34" s="43"/>
      <c r="M34" s="43"/>
    </row>
    <row r="35" spans="1:13" ht="12" customHeight="1" x14ac:dyDescent="0.3">
      <c r="A35" s="16" t="s">
        <v>236</v>
      </c>
      <c r="B35" s="24"/>
      <c r="C35" s="18"/>
      <c r="D35" s="132"/>
      <c r="E35" s="132"/>
      <c r="F35" s="132"/>
      <c r="G35" s="132"/>
      <c r="H35" s="43"/>
      <c r="I35" s="43"/>
      <c r="J35" s="43"/>
      <c r="K35" s="43"/>
      <c r="L35" s="43"/>
      <c r="M35" s="43"/>
    </row>
    <row r="36" spans="1:13" ht="12" customHeight="1" x14ac:dyDescent="0.3">
      <c r="B36" s="9"/>
      <c r="K36" s="10"/>
    </row>
    <row r="37" spans="1:13" ht="12" customHeight="1" x14ac:dyDescent="0.3">
      <c r="L37" s="10"/>
    </row>
  </sheetData>
  <mergeCells count="9">
    <mergeCell ref="B8:D8"/>
    <mergeCell ref="E8:G8"/>
    <mergeCell ref="H8:J8"/>
    <mergeCell ref="K8:M8"/>
    <mergeCell ref="A1:M1"/>
    <mergeCell ref="E2:M2"/>
    <mergeCell ref="E3:M3"/>
    <mergeCell ref="E4:M4"/>
    <mergeCell ref="E6:M6"/>
  </mergeCells>
  <printOptions horizontalCentered="1" verticalCentered="1"/>
  <pageMargins left="0.51181102362204722" right="0.31496062992125984" top="0.74803149606299213" bottom="0.55118110236220474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C60D-6539-4665-B179-D7D2CC3A7353}">
  <sheetPr>
    <tabColor theme="5" tint="0.59999389629810485"/>
  </sheetPr>
  <dimension ref="A1:L37"/>
  <sheetViews>
    <sheetView topLeftCell="A10" zoomScale="93" zoomScaleNormal="93" workbookViewId="0">
      <selection activeCell="A32" sqref="A32"/>
    </sheetView>
  </sheetViews>
  <sheetFormatPr baseColWidth="10" defaultColWidth="12" defaultRowHeight="10.199999999999999" x14ac:dyDescent="0.2"/>
  <cols>
    <col min="1" max="1" width="14.7109375" customWidth="1"/>
    <col min="2" max="2" width="19.140625" customWidth="1"/>
    <col min="3" max="3" width="21.42578125" bestFit="1" customWidth="1"/>
    <col min="4" max="4" width="34.140625" customWidth="1"/>
    <col min="5" max="5" width="30.7109375" customWidth="1"/>
    <col min="6" max="6" width="23.28515625" customWidth="1"/>
    <col min="7" max="7" width="23.140625" customWidth="1"/>
    <col min="8" max="8" width="24.28515625" customWidth="1"/>
    <col min="9" max="9" width="15.42578125" bestFit="1" customWidth="1"/>
    <col min="10" max="10" width="13.7109375" customWidth="1"/>
    <col min="12" max="12" width="17" bestFit="1" customWidth="1"/>
  </cols>
  <sheetData>
    <row r="1" spans="1:11" ht="14.4" x14ac:dyDescent="0.3">
      <c r="A1" s="916"/>
      <c r="B1" s="916"/>
      <c r="C1" s="916"/>
      <c r="D1" s="916"/>
      <c r="E1" s="916"/>
      <c r="F1" s="916"/>
      <c r="G1" s="916"/>
      <c r="H1" s="916"/>
      <c r="I1" s="916"/>
      <c r="J1" s="916"/>
    </row>
    <row r="2" spans="1:11" ht="14.4" x14ac:dyDescent="0.3">
      <c r="A2" s="67"/>
      <c r="B2" s="67"/>
      <c r="D2" s="102"/>
      <c r="E2" s="816" t="s">
        <v>222</v>
      </c>
      <c r="F2" s="816"/>
      <c r="G2" s="816"/>
      <c r="H2" s="816"/>
      <c r="I2" s="816"/>
      <c r="J2" s="816"/>
    </row>
    <row r="3" spans="1:11" ht="14.4" x14ac:dyDescent="0.3">
      <c r="A3" s="64"/>
      <c r="B3" s="64"/>
      <c r="D3" s="64"/>
      <c r="E3" s="916" t="s">
        <v>454</v>
      </c>
      <c r="F3" s="916"/>
      <c r="G3" s="916"/>
      <c r="H3" s="916"/>
      <c r="I3" s="916"/>
      <c r="J3" s="916"/>
    </row>
    <row r="4" spans="1:11" ht="14.4" x14ac:dyDescent="0.3">
      <c r="A4" s="64"/>
      <c r="B4" s="64"/>
      <c r="D4" s="64"/>
      <c r="E4" s="916" t="s">
        <v>132</v>
      </c>
      <c r="F4" s="916"/>
      <c r="G4" s="916"/>
      <c r="H4" s="916"/>
      <c r="I4" s="916"/>
      <c r="J4" s="916"/>
    </row>
    <row r="5" spans="1:11" ht="14.4" x14ac:dyDescent="0.3">
      <c r="A5" s="64"/>
      <c r="B5" s="64"/>
      <c r="D5" s="64"/>
      <c r="I5" s="333"/>
    </row>
    <row r="6" spans="1:11" ht="14.4" x14ac:dyDescent="0.3">
      <c r="A6" s="64"/>
      <c r="B6" s="64"/>
      <c r="D6" s="64"/>
      <c r="E6" s="924" t="str">
        <f>Ingresos!E6</f>
        <v>AL 30 DE JUNIO DEL 2026</v>
      </c>
      <c r="F6" s="916"/>
      <c r="G6" s="916"/>
      <c r="H6" s="916"/>
      <c r="I6" s="916"/>
      <c r="J6" s="916"/>
    </row>
    <row r="7" spans="1:11" ht="14.4" x14ac:dyDescent="0.3">
      <c r="A7" s="64"/>
      <c r="B7" s="64"/>
      <c r="C7" s="64"/>
      <c r="D7" s="64"/>
      <c r="E7" s="64"/>
      <c r="F7" s="64"/>
      <c r="G7" s="64"/>
      <c r="H7" s="64"/>
      <c r="J7" s="171"/>
    </row>
    <row r="8" spans="1:11" ht="14.4" x14ac:dyDescent="0.3">
      <c r="A8" s="917" t="s">
        <v>133</v>
      </c>
      <c r="B8" s="918"/>
      <c r="C8" s="918"/>
      <c r="D8" s="919"/>
      <c r="E8" s="920" t="s">
        <v>134</v>
      </c>
      <c r="F8" s="921"/>
      <c r="G8" s="922" t="s">
        <v>135</v>
      </c>
      <c r="H8" s="918"/>
      <c r="I8" s="918"/>
      <c r="J8" s="923"/>
    </row>
    <row r="9" spans="1:11" ht="28.8" x14ac:dyDescent="0.2">
      <c r="A9" s="563" t="s">
        <v>2</v>
      </c>
      <c r="B9" s="564" t="s">
        <v>136</v>
      </c>
      <c r="C9" s="564" t="s">
        <v>137</v>
      </c>
      <c r="D9" s="565" t="s">
        <v>138</v>
      </c>
      <c r="E9" s="563" t="s">
        <v>136</v>
      </c>
      <c r="F9" s="566" t="s">
        <v>137</v>
      </c>
      <c r="G9" s="567" t="s">
        <v>139</v>
      </c>
      <c r="H9" s="564" t="s">
        <v>140</v>
      </c>
      <c r="I9" s="564" t="s">
        <v>141</v>
      </c>
      <c r="J9" s="566" t="s">
        <v>142</v>
      </c>
    </row>
    <row r="10" spans="1:11" ht="63" customHeight="1" x14ac:dyDescent="0.3">
      <c r="A10" s="164" t="s">
        <v>19</v>
      </c>
      <c r="B10" s="165" t="s">
        <v>183</v>
      </c>
      <c r="C10" s="129">
        <f>+Ingresos!J16</f>
        <v>0</v>
      </c>
      <c r="D10" s="168" t="s">
        <v>184</v>
      </c>
      <c r="E10" s="126"/>
      <c r="F10" s="127"/>
      <c r="G10" s="128"/>
      <c r="H10" s="129"/>
      <c r="I10" s="166"/>
      <c r="J10" s="167"/>
    </row>
    <row r="11" spans="1:11" ht="14.4" x14ac:dyDescent="0.3">
      <c r="A11" s="153" t="s">
        <v>131</v>
      </c>
      <c r="B11" s="145"/>
      <c r="C11" s="154">
        <f>SUM(C10)</f>
        <v>0</v>
      </c>
      <c r="D11" s="146"/>
      <c r="E11" s="147"/>
      <c r="F11" s="178"/>
      <c r="G11" s="179"/>
      <c r="H11" s="180"/>
      <c r="I11" s="181"/>
      <c r="J11" s="182"/>
    </row>
    <row r="12" spans="1:11" ht="80.25" customHeight="1" x14ac:dyDescent="0.3">
      <c r="A12" s="173" t="s">
        <v>22</v>
      </c>
      <c r="B12" s="174" t="s">
        <v>23</v>
      </c>
      <c r="C12" s="134">
        <f>+Ingresos!J20</f>
        <v>13217841.82</v>
      </c>
      <c r="D12" s="175" t="s">
        <v>185</v>
      </c>
      <c r="E12" s="122" t="s">
        <v>145</v>
      </c>
      <c r="F12" s="135">
        <v>0</v>
      </c>
      <c r="G12" s="152"/>
      <c r="H12" s="134"/>
      <c r="I12" s="176"/>
      <c r="J12" s="177"/>
    </row>
    <row r="13" spans="1:11" ht="14.4" x14ac:dyDescent="0.2">
      <c r="A13" s="153" t="s">
        <v>131</v>
      </c>
      <c r="B13" s="145"/>
      <c r="C13" s="154">
        <f>SUM(C12)</f>
        <v>13217841.82</v>
      </c>
      <c r="D13" s="146"/>
      <c r="E13" s="147"/>
      <c r="F13" s="159">
        <f>SUM(F10)</f>
        <v>0</v>
      </c>
      <c r="G13" s="160">
        <f t="shared" ref="G13:J13" si="0">SUM(G10)</f>
        <v>0</v>
      </c>
      <c r="H13" s="154">
        <f t="shared" si="0"/>
        <v>0</v>
      </c>
      <c r="I13" s="154">
        <f t="shared" si="0"/>
        <v>0</v>
      </c>
      <c r="J13" s="159">
        <f t="shared" si="0"/>
        <v>0</v>
      </c>
    </row>
    <row r="14" spans="1:11" ht="30" hidden="1" customHeight="1" x14ac:dyDescent="0.2">
      <c r="A14" s="925" t="s">
        <v>188</v>
      </c>
      <c r="B14" s="927" t="s">
        <v>218</v>
      </c>
      <c r="C14" s="933">
        <f>+Ingresos!J24</f>
        <v>0</v>
      </c>
      <c r="D14" s="930" t="s">
        <v>219</v>
      </c>
      <c r="E14" s="269" t="s">
        <v>145</v>
      </c>
      <c r="F14" s="270">
        <v>0</v>
      </c>
      <c r="G14" s="271">
        <f>+F14</f>
        <v>0</v>
      </c>
      <c r="H14" s="272"/>
      <c r="I14" s="272"/>
      <c r="J14" s="270"/>
      <c r="K14" s="268"/>
    </row>
    <row r="15" spans="1:11" ht="14.4" hidden="1" x14ac:dyDescent="0.2">
      <c r="A15" s="926"/>
      <c r="B15" s="928"/>
      <c r="C15" s="934"/>
      <c r="D15" s="931"/>
      <c r="E15" s="122" t="s">
        <v>146</v>
      </c>
      <c r="F15" s="123">
        <v>0</v>
      </c>
      <c r="G15" s="124">
        <f>+F15</f>
        <v>0</v>
      </c>
      <c r="H15" s="125"/>
      <c r="I15" s="125"/>
      <c r="J15" s="123"/>
      <c r="K15" s="268"/>
    </row>
    <row r="16" spans="1:11" ht="14.4" hidden="1" x14ac:dyDescent="0.2">
      <c r="A16" s="276" t="s">
        <v>131</v>
      </c>
      <c r="B16" s="929"/>
      <c r="C16" s="277">
        <f>SUM(C14)</f>
        <v>0</v>
      </c>
      <c r="D16" s="932"/>
      <c r="E16" s="273"/>
      <c r="F16" s="278">
        <f>SUM(F14:F15)</f>
        <v>0</v>
      </c>
      <c r="G16" s="279">
        <f>SUM(G14:G15)</f>
        <v>0</v>
      </c>
      <c r="H16" s="275"/>
      <c r="I16" s="275"/>
      <c r="J16" s="274"/>
      <c r="K16" s="268"/>
    </row>
    <row r="17" spans="1:12" ht="14.4" x14ac:dyDescent="0.3">
      <c r="A17" s="947" t="s">
        <v>29</v>
      </c>
      <c r="B17" s="950" t="s">
        <v>217</v>
      </c>
      <c r="C17" s="942">
        <f>+Ingresos!J25</f>
        <v>8014417301</v>
      </c>
      <c r="D17" s="953" t="s">
        <v>144</v>
      </c>
      <c r="E17" s="140" t="s">
        <v>143</v>
      </c>
      <c r="F17" s="141">
        <f>+'Ej. x Fuente F.'!L11</f>
        <v>3548346881.7699995</v>
      </c>
      <c r="G17" s="142">
        <f>+F17</f>
        <v>3548346881.7699995</v>
      </c>
      <c r="H17" s="139"/>
      <c r="I17" s="143"/>
      <c r="J17" s="144"/>
    </row>
    <row r="18" spans="1:12" s="65" customFormat="1" ht="15.75" customHeight="1" x14ac:dyDescent="0.2">
      <c r="A18" s="948"/>
      <c r="B18" s="951"/>
      <c r="C18" s="942"/>
      <c r="D18" s="953"/>
      <c r="E18" s="122" t="s">
        <v>145</v>
      </c>
      <c r="F18" s="123">
        <f>+'Ej. x Fuente F.'!L12</f>
        <v>1743092612.6800001</v>
      </c>
      <c r="G18" s="124">
        <f>+F18</f>
        <v>1743092612.6800001</v>
      </c>
      <c r="H18" s="125"/>
      <c r="I18" s="125"/>
      <c r="J18" s="123"/>
    </row>
    <row r="19" spans="1:12" s="65" customFormat="1" ht="15.75" customHeight="1" x14ac:dyDescent="0.2">
      <c r="A19" s="948"/>
      <c r="B19" s="951"/>
      <c r="C19" s="942"/>
      <c r="D19" s="953"/>
      <c r="E19" s="122" t="s">
        <v>146</v>
      </c>
      <c r="F19" s="123">
        <f>+'Ej. x Fuente F.'!L13</f>
        <v>107390582.85000001</v>
      </c>
      <c r="G19" s="124">
        <f>+F19</f>
        <v>107390582.85000001</v>
      </c>
      <c r="H19" s="125"/>
      <c r="I19" s="125"/>
      <c r="J19" s="123"/>
    </row>
    <row r="20" spans="1:12" s="65" customFormat="1" ht="15.75" customHeight="1" x14ac:dyDescent="0.2">
      <c r="A20" s="948"/>
      <c r="B20" s="951"/>
      <c r="C20" s="942"/>
      <c r="D20" s="953"/>
      <c r="E20" s="122" t="s">
        <v>147</v>
      </c>
      <c r="F20" s="123">
        <f>+'Ej. x Fuente F.'!L14</f>
        <v>94161616.120000005</v>
      </c>
      <c r="G20" s="124">
        <f>+F20</f>
        <v>94161616.120000005</v>
      </c>
      <c r="H20" s="125">
        <v>0</v>
      </c>
      <c r="I20" s="125"/>
      <c r="J20" s="123"/>
    </row>
    <row r="21" spans="1:12" s="65" customFormat="1" ht="15.75" customHeight="1" x14ac:dyDescent="0.2">
      <c r="A21" s="948"/>
      <c r="B21" s="951"/>
      <c r="C21" s="942"/>
      <c r="D21" s="953"/>
      <c r="E21" s="122" t="s">
        <v>148</v>
      </c>
      <c r="F21" s="123">
        <f>+'Ej. x Fuente F.'!L15</f>
        <v>156893999.5</v>
      </c>
      <c r="G21" s="124">
        <f>+F21</f>
        <v>156893999.5</v>
      </c>
      <c r="H21" s="125"/>
      <c r="I21" s="125"/>
      <c r="J21" s="123"/>
    </row>
    <row r="22" spans="1:12" s="65" customFormat="1" ht="15.75" customHeight="1" x14ac:dyDescent="0.2">
      <c r="A22" s="949"/>
      <c r="B22" s="952"/>
      <c r="C22" s="943"/>
      <c r="D22" s="954"/>
      <c r="E22" s="126" t="s">
        <v>149</v>
      </c>
      <c r="F22" s="127">
        <v>0</v>
      </c>
      <c r="G22" s="128">
        <v>0</v>
      </c>
      <c r="H22" s="129">
        <f>+F22</f>
        <v>0</v>
      </c>
      <c r="I22" s="129"/>
      <c r="J22" s="127"/>
    </row>
    <row r="23" spans="1:12" s="65" customFormat="1" ht="14.4" x14ac:dyDescent="0.2">
      <c r="A23" s="153" t="s">
        <v>131</v>
      </c>
      <c r="B23" s="155"/>
      <c r="C23" s="156">
        <f>+C17</f>
        <v>8014417301</v>
      </c>
      <c r="D23" s="163"/>
      <c r="E23" s="157"/>
      <c r="F23" s="158">
        <f>SUM(F17:F22)</f>
        <v>5649885692.9200001</v>
      </c>
      <c r="G23" s="158">
        <f t="shared" ref="G23:J23" si="1">SUM(G17:G22)</f>
        <v>5649885692.9200001</v>
      </c>
      <c r="H23" s="158">
        <f t="shared" si="1"/>
        <v>0</v>
      </c>
      <c r="I23" s="158">
        <f t="shared" si="1"/>
        <v>0</v>
      </c>
      <c r="J23" s="158">
        <f t="shared" si="1"/>
        <v>0</v>
      </c>
      <c r="L23" s="116"/>
    </row>
    <row r="24" spans="1:12" s="136" customFormat="1" ht="72" x14ac:dyDescent="0.2">
      <c r="A24" s="169" t="s">
        <v>179</v>
      </c>
      <c r="B24" s="130" t="s">
        <v>225</v>
      </c>
      <c r="C24" s="211">
        <f>+Ingresos!J29</f>
        <v>205497879</v>
      </c>
      <c r="D24" s="161" t="s">
        <v>144</v>
      </c>
      <c r="E24" s="151" t="s">
        <v>149</v>
      </c>
      <c r="F24" s="135">
        <f>+'Ej. x Fuente F.'!L16</f>
        <v>130538642.5</v>
      </c>
      <c r="G24" s="152">
        <v>0</v>
      </c>
      <c r="H24" s="134">
        <f>+F24</f>
        <v>130538642.5</v>
      </c>
      <c r="I24" s="134"/>
      <c r="J24" s="135"/>
      <c r="L24" s="137"/>
    </row>
    <row r="25" spans="1:12" s="136" customFormat="1" ht="14.4" x14ac:dyDescent="0.2">
      <c r="A25" s="153" t="s">
        <v>131</v>
      </c>
      <c r="B25" s="155"/>
      <c r="C25" s="156">
        <f>+C24</f>
        <v>205497879</v>
      </c>
      <c r="D25" s="163"/>
      <c r="E25" s="157"/>
      <c r="F25" s="159">
        <f>SUM(F24)</f>
        <v>130538642.5</v>
      </c>
      <c r="G25" s="160">
        <f t="shared" ref="G25:J25" si="2">SUM(G24)</f>
        <v>0</v>
      </c>
      <c r="H25" s="154">
        <f t="shared" si="2"/>
        <v>130538642.5</v>
      </c>
      <c r="I25" s="154">
        <f t="shared" si="2"/>
        <v>0</v>
      </c>
      <c r="J25" s="159">
        <f t="shared" si="2"/>
        <v>0</v>
      </c>
      <c r="L25" s="137"/>
    </row>
    <row r="26" spans="1:12" s="65" customFormat="1" ht="15.75" customHeight="1" x14ac:dyDescent="0.2">
      <c r="A26" s="935" t="s">
        <v>35</v>
      </c>
      <c r="B26" s="938" t="s">
        <v>150</v>
      </c>
      <c r="C26" s="941">
        <f>Ingresos!J33</f>
        <v>455724592.57999998</v>
      </c>
      <c r="D26" s="944" t="s">
        <v>151</v>
      </c>
      <c r="E26" s="140" t="s">
        <v>147</v>
      </c>
      <c r="F26" s="141">
        <f>+'Ej. x Fuente F.'!L26</f>
        <v>134448257.38</v>
      </c>
      <c r="G26" s="142"/>
      <c r="H26" s="139">
        <f>+F26</f>
        <v>134448257.38</v>
      </c>
      <c r="I26" s="139"/>
      <c r="J26" s="141"/>
    </row>
    <row r="27" spans="1:12" s="65" customFormat="1" ht="15.75" customHeight="1" x14ac:dyDescent="0.2">
      <c r="A27" s="936"/>
      <c r="B27" s="939"/>
      <c r="C27" s="942"/>
      <c r="D27" s="945"/>
      <c r="E27" s="122" t="s">
        <v>148</v>
      </c>
      <c r="F27" s="123">
        <f>+'Ej. x Fuente F.'!L27</f>
        <v>79863311.400000006</v>
      </c>
      <c r="G27" s="124">
        <f>+F27</f>
        <v>79863311.400000006</v>
      </c>
      <c r="H27" s="125"/>
      <c r="I27" s="125"/>
      <c r="J27" s="123"/>
    </row>
    <row r="28" spans="1:12" s="65" customFormat="1" ht="15.75" customHeight="1" x14ac:dyDescent="0.2">
      <c r="A28" s="937"/>
      <c r="B28" s="940"/>
      <c r="C28" s="943"/>
      <c r="D28" s="946"/>
      <c r="E28" s="126" t="s">
        <v>149</v>
      </c>
      <c r="F28" s="127">
        <f>+'Ej. x Fuente F.'!L28</f>
        <v>241413024.5</v>
      </c>
      <c r="G28" s="128">
        <v>0</v>
      </c>
      <c r="H28" s="129">
        <f>+F28</f>
        <v>241413024.5</v>
      </c>
      <c r="I28" s="129"/>
      <c r="J28" s="127"/>
    </row>
    <row r="29" spans="1:12" s="162" customFormat="1" ht="14.4" x14ac:dyDescent="0.2">
      <c r="A29" s="153" t="s">
        <v>131</v>
      </c>
      <c r="B29" s="155"/>
      <c r="C29" s="156">
        <f>+C26</f>
        <v>455724592.57999998</v>
      </c>
      <c r="D29" s="163"/>
      <c r="E29" s="157"/>
      <c r="F29" s="159">
        <f>SUM(F26:F28)</f>
        <v>455724593.27999997</v>
      </c>
      <c r="G29" s="160">
        <f t="shared" ref="G29:J29" si="3">SUM(G26:G28)</f>
        <v>79863311.400000006</v>
      </c>
      <c r="H29" s="154">
        <f t="shared" si="3"/>
        <v>375861281.88</v>
      </c>
      <c r="I29" s="154">
        <f t="shared" si="3"/>
        <v>0</v>
      </c>
      <c r="J29" s="159">
        <f t="shared" si="3"/>
        <v>0</v>
      </c>
    </row>
    <row r="30" spans="1:12" s="65" customFormat="1" ht="19.5" customHeight="1" thickBot="1" x14ac:dyDescent="0.25">
      <c r="A30" s="558" t="s">
        <v>130</v>
      </c>
      <c r="B30" s="559"/>
      <c r="C30" s="560">
        <f>C11+C13+C16+C23+C25+C29</f>
        <v>8688857614.3999996</v>
      </c>
      <c r="D30" s="561" t="s">
        <v>152</v>
      </c>
      <c r="E30" s="558" t="s">
        <v>152</v>
      </c>
      <c r="F30" s="562">
        <f>F16+F23+F25+F29</f>
        <v>6236148928.6999998</v>
      </c>
      <c r="G30" s="562">
        <f t="shared" ref="G30:J30" si="4">G16+G23+G25+G29</f>
        <v>5729749004.3199997</v>
      </c>
      <c r="H30" s="562">
        <f t="shared" si="4"/>
        <v>506399924.38</v>
      </c>
      <c r="I30" s="562">
        <f t="shared" si="4"/>
        <v>0</v>
      </c>
      <c r="J30" s="562">
        <f t="shared" si="4"/>
        <v>0</v>
      </c>
    </row>
    <row r="31" spans="1:12" ht="10.8" thickTop="1" x14ac:dyDescent="0.2">
      <c r="F31" s="66"/>
      <c r="G31" s="66"/>
      <c r="H31" s="66"/>
      <c r="I31" s="66"/>
      <c r="J31" s="66"/>
    </row>
    <row r="32" spans="1:12" ht="13.8" x14ac:dyDescent="0.2">
      <c r="A32" s="16" t="s">
        <v>236</v>
      </c>
      <c r="F32" s="66"/>
      <c r="G32" s="66"/>
      <c r="H32" s="66"/>
      <c r="I32" s="66"/>
      <c r="J32" s="66"/>
    </row>
    <row r="33" spans="3:12" x14ac:dyDescent="0.2">
      <c r="F33" s="66"/>
      <c r="G33" s="66"/>
      <c r="H33" s="66"/>
      <c r="I33" s="66"/>
      <c r="J33" s="66"/>
      <c r="L33" s="117"/>
    </row>
    <row r="34" spans="3:12" x14ac:dyDescent="0.2">
      <c r="C34" s="117"/>
      <c r="F34" s="117"/>
      <c r="G34" s="117"/>
      <c r="L34" s="117"/>
    </row>
    <row r="35" spans="3:12" ht="14.4" x14ac:dyDescent="0.2">
      <c r="G35" s="117"/>
      <c r="H35" s="135"/>
      <c r="L35" s="117"/>
    </row>
    <row r="36" spans="3:12" x14ac:dyDescent="0.2">
      <c r="F36" s="117"/>
    </row>
    <row r="37" spans="3:12" x14ac:dyDescent="0.2">
      <c r="F37" s="117"/>
    </row>
  </sheetData>
  <mergeCells count="20">
    <mergeCell ref="A14:A15"/>
    <mergeCell ref="B14:B16"/>
    <mergeCell ref="D14:D16"/>
    <mergeCell ref="C14:C15"/>
    <mergeCell ref="A26:A28"/>
    <mergeCell ref="B26:B28"/>
    <mergeCell ref="C26:C28"/>
    <mergeCell ref="D26:D28"/>
    <mergeCell ref="A17:A22"/>
    <mergeCell ref="B17:B22"/>
    <mergeCell ref="C17:C22"/>
    <mergeCell ref="D17:D22"/>
    <mergeCell ref="A1:J1"/>
    <mergeCell ref="A8:D8"/>
    <mergeCell ref="E8:F8"/>
    <mergeCell ref="G8:J8"/>
    <mergeCell ref="E2:J2"/>
    <mergeCell ref="E3:J3"/>
    <mergeCell ref="E4:J4"/>
    <mergeCell ref="E6:J6"/>
  </mergeCells>
  <dataValidations disablePrompts="1" count="1">
    <dataValidation type="textLength" operator="equal" allowBlank="1" showInputMessage="1" showErrorMessage="1" errorTitle="Subpartida" error="Incluir un máximo de 5 número enteros. Ejemplo: 10304" promptTitle="Subpartida" prompt="Incluir un máximo de 5 número enteros. Ejemplo: 10304" sqref="A26" xr:uid="{80B13BAB-7797-48A9-B118-B6BC065352D2}">
      <formula1>5</formula1>
    </dataValidation>
  </dataValidations>
  <printOptions horizontalCentered="1" verticalCentered="1"/>
  <pageMargins left="0.51181102362204722" right="0.11811023622047245" top="0.55118110236220474" bottom="0.55118110236220474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1A8-5D83-4347-BFCC-9A20B8C42EB1}">
  <dimension ref="B1:J20"/>
  <sheetViews>
    <sheetView topLeftCell="B1" workbookViewId="0">
      <selection activeCell="B1" sqref="B1:E14"/>
    </sheetView>
  </sheetViews>
  <sheetFormatPr baseColWidth="10" defaultColWidth="14" defaultRowHeight="15.6" x14ac:dyDescent="0.3"/>
  <cols>
    <col min="1" max="1" width="14" style="193"/>
    <col min="2" max="2" width="15" style="193" customWidth="1"/>
    <col min="3" max="3" width="17.42578125" style="193" customWidth="1"/>
    <col min="4" max="4" width="98" style="195" customWidth="1"/>
    <col min="5" max="5" width="21.42578125" style="196" customWidth="1"/>
    <col min="6" max="6" width="8.7109375" style="196" bestFit="1" customWidth="1"/>
    <col min="7" max="7" width="7.42578125" style="193" customWidth="1"/>
    <col min="8" max="8" width="2.140625" style="193" bestFit="1" customWidth="1"/>
    <col min="9" max="9" width="4.7109375" style="193" bestFit="1" customWidth="1"/>
    <col min="10" max="10" width="24.7109375" style="193" bestFit="1" customWidth="1"/>
    <col min="11" max="11" width="6.140625" style="193" bestFit="1" customWidth="1"/>
    <col min="12" max="12" width="5.7109375" style="193" bestFit="1" customWidth="1"/>
    <col min="13" max="13" width="5.42578125" style="193" bestFit="1" customWidth="1"/>
    <col min="14" max="14" width="6.140625" style="193" bestFit="1" customWidth="1"/>
    <col min="15" max="15" width="5.7109375" style="193" bestFit="1" customWidth="1"/>
    <col min="16" max="16" width="5.42578125" style="193" bestFit="1" customWidth="1"/>
    <col min="17" max="17" width="6.140625" style="193" bestFit="1" customWidth="1"/>
    <col min="18" max="18" width="5.7109375" style="193" bestFit="1" customWidth="1"/>
    <col min="19" max="19" width="4.7109375" style="193" bestFit="1" customWidth="1"/>
    <col min="20" max="20" width="6.140625" style="193" bestFit="1" customWidth="1"/>
    <col min="21" max="21" width="5.7109375" style="193" bestFit="1" customWidth="1"/>
    <col min="22" max="22" width="4.28515625" style="193" bestFit="1" customWidth="1"/>
    <col min="23" max="16384" width="14" style="193"/>
  </cols>
  <sheetData>
    <row r="1" spans="2:10" x14ac:dyDescent="0.3">
      <c r="B1" s="958"/>
      <c r="C1" s="958"/>
      <c r="D1" s="958"/>
      <c r="E1" s="958"/>
      <c r="F1"/>
    </row>
    <row r="2" spans="2:10" x14ac:dyDescent="0.3">
      <c r="B2" s="235"/>
      <c r="C2" s="235"/>
      <c r="D2" s="959" t="s">
        <v>223</v>
      </c>
      <c r="E2" s="959"/>
      <c r="F2" s="187"/>
      <c r="G2" s="187"/>
      <c r="H2" s="187"/>
      <c r="I2" s="187"/>
      <c r="J2" s="187"/>
    </row>
    <row r="3" spans="2:10" x14ac:dyDescent="0.3">
      <c r="B3" s="235"/>
      <c r="C3" s="235"/>
      <c r="D3" s="959" t="s">
        <v>276</v>
      </c>
      <c r="E3" s="959"/>
      <c r="F3" s="187"/>
      <c r="G3" s="187"/>
      <c r="H3" s="187"/>
      <c r="I3" s="187"/>
      <c r="J3" s="187"/>
    </row>
    <row r="4" spans="2:10" x14ac:dyDescent="0.3">
      <c r="B4" s="235"/>
      <c r="C4" s="235"/>
      <c r="D4" s="960" t="s">
        <v>198</v>
      </c>
      <c r="E4" s="960"/>
    </row>
    <row r="5" spans="2:10" x14ac:dyDescent="0.3">
      <c r="B5" s="235"/>
      <c r="C5" s="235"/>
      <c r="D5" s="957" t="str">
        <f>+Ingresos!E6</f>
        <v>AL 30 DE JUNIO DEL 2026</v>
      </c>
      <c r="E5" s="957"/>
      <c r="G5" s="333"/>
    </row>
    <row r="6" spans="2:10" x14ac:dyDescent="0.3">
      <c r="B6" s="235"/>
      <c r="C6" s="236"/>
      <c r="D6" s="237"/>
      <c r="E6" s="237"/>
    </row>
    <row r="7" spans="2:10" x14ac:dyDescent="0.3">
      <c r="B7" s="961" t="s">
        <v>203</v>
      </c>
      <c r="C7" s="962"/>
      <c r="D7" s="962"/>
      <c r="E7" s="963"/>
    </row>
    <row r="8" spans="2:10" x14ac:dyDescent="0.3">
      <c r="B8" s="569" t="s">
        <v>200</v>
      </c>
      <c r="C8" s="570" t="s">
        <v>199</v>
      </c>
      <c r="D8" s="570" t="s">
        <v>201</v>
      </c>
      <c r="E8" s="571" t="s">
        <v>137</v>
      </c>
    </row>
    <row r="9" spans="2:10" s="194" customFormat="1" ht="27.6" x14ac:dyDescent="0.2">
      <c r="B9" s="246">
        <v>46042</v>
      </c>
      <c r="C9" s="378" t="s">
        <v>455</v>
      </c>
      <c r="D9" s="247" t="s">
        <v>456</v>
      </c>
      <c r="E9" s="248">
        <v>163402477</v>
      </c>
      <c r="F9" s="234"/>
    </row>
    <row r="10" spans="2:10" s="194" customFormat="1" x14ac:dyDescent="0.2">
      <c r="B10" s="238">
        <v>46084</v>
      </c>
      <c r="C10" s="607" t="s">
        <v>502</v>
      </c>
      <c r="D10" s="247" t="s">
        <v>503</v>
      </c>
      <c r="E10" s="245">
        <v>247502360</v>
      </c>
      <c r="F10" s="234"/>
    </row>
    <row r="11" spans="2:10" s="194" customFormat="1" x14ac:dyDescent="0.2">
      <c r="B11" s="238"/>
      <c r="C11" s="378"/>
      <c r="D11" s="244"/>
      <c r="E11" s="245"/>
      <c r="F11" s="234"/>
    </row>
    <row r="12" spans="2:10" s="194" customFormat="1" hidden="1" x14ac:dyDescent="0.2">
      <c r="B12" s="238"/>
      <c r="C12" s="378"/>
      <c r="D12" s="244"/>
      <c r="E12" s="245"/>
      <c r="F12" s="234"/>
    </row>
    <row r="13" spans="2:10" s="194" customFormat="1" ht="30.6" hidden="1" customHeight="1" x14ac:dyDescent="0.2">
      <c r="B13" s="239"/>
      <c r="C13" s="378"/>
      <c r="D13" s="244"/>
      <c r="E13" s="326"/>
      <c r="F13" s="234"/>
    </row>
    <row r="14" spans="2:10" s="194" customFormat="1" x14ac:dyDescent="0.2">
      <c r="B14" s="240" t="s">
        <v>130</v>
      </c>
      <c r="C14" s="258"/>
      <c r="D14" s="241"/>
      <c r="E14" s="259">
        <f>SUM(E9:E13)</f>
        <v>410904837</v>
      </c>
      <c r="F14" s="234"/>
    </row>
    <row r="15" spans="2:10" x14ac:dyDescent="0.3">
      <c r="B15" s="235"/>
      <c r="C15" s="242"/>
      <c r="D15" s="242"/>
      <c r="E15" s="243"/>
    </row>
    <row r="16" spans="2:10" x14ac:dyDescent="0.3">
      <c r="B16" s="572"/>
      <c r="C16" s="955" t="s">
        <v>202</v>
      </c>
      <c r="D16" s="955"/>
      <c r="E16" s="956"/>
    </row>
    <row r="17" spans="2:6" s="194" customFormat="1" ht="57.6" customHeight="1" x14ac:dyDescent="0.2">
      <c r="B17" s="246"/>
      <c r="C17" s="378"/>
      <c r="D17" s="247"/>
      <c r="E17" s="248"/>
      <c r="F17" s="234"/>
    </row>
    <row r="18" spans="2:6" s="194" customFormat="1" x14ac:dyDescent="0.2">
      <c r="B18" s="260" t="s">
        <v>130</v>
      </c>
      <c r="C18" s="261"/>
      <c r="D18" s="262"/>
      <c r="E18" s="263">
        <f>SUM(E17:E17)</f>
        <v>0</v>
      </c>
      <c r="F18" s="234"/>
    </row>
    <row r="20" spans="2:6" x14ac:dyDescent="0.3">
      <c r="B20" s="16" t="s">
        <v>236</v>
      </c>
    </row>
  </sheetData>
  <mergeCells count="7">
    <mergeCell ref="C16:E16"/>
    <mergeCell ref="D5:E5"/>
    <mergeCell ref="B1:E1"/>
    <mergeCell ref="D2:E2"/>
    <mergeCell ref="D4:E4"/>
    <mergeCell ref="D3:E3"/>
    <mergeCell ref="B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FB16B01EA13247BD73CB9BDB011982" ma:contentTypeVersion="5" ma:contentTypeDescription="Crear nuevo documento." ma:contentTypeScope="" ma:versionID="4c7e06c884a6f212a7ce337b2f0d8c1e">
  <xsd:schema xmlns:xsd="http://www.w3.org/2001/XMLSchema" xmlns:xs="http://www.w3.org/2001/XMLSchema" xmlns:p="http://schemas.microsoft.com/office/2006/metadata/properties" xmlns:ns3="852caa7d-fc4d-43a4-9a35-b01890a98aa4" xmlns:ns4="f27be81e-e560-4efe-be30-0630c3c42b63" targetNamespace="http://schemas.microsoft.com/office/2006/metadata/properties" ma:root="true" ma:fieldsID="bc8fd3d4712af548d6cee4a5074cdac3" ns3:_="" ns4:_="">
    <xsd:import namespace="852caa7d-fc4d-43a4-9a35-b01890a98aa4"/>
    <xsd:import namespace="f27be81e-e560-4efe-be30-0630c3c42b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caa7d-fc4d-43a4-9a35-b01890a98a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be81e-e560-4efe-be30-0630c3c42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A83C4E-B8C7-49FD-819F-9C213BA1B27A}">
  <ds:schemaRefs>
    <ds:schemaRef ds:uri="http://purl.org/dc/elements/1.1/"/>
    <ds:schemaRef ds:uri="852caa7d-fc4d-43a4-9a35-b01890a98aa4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27be81e-e560-4efe-be30-0630c3c42b6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7068EC-C69A-4109-B7BE-8BA26903DD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FC3FF-45AD-46B1-8387-88A659C00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caa7d-fc4d-43a4-9a35-b01890a98aa4"/>
    <ds:schemaRef ds:uri="f27be81e-e560-4efe-be30-0630c3c42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4</vt:i4>
      </vt:variant>
    </vt:vector>
  </HeadingPairs>
  <TitlesOfParts>
    <vt:vector size="16" baseType="lpstr">
      <vt:lpstr>Ingresos</vt:lpstr>
      <vt:lpstr>Prog 1</vt:lpstr>
      <vt:lpstr>Prog 2</vt:lpstr>
      <vt:lpstr>Prog 3</vt:lpstr>
      <vt:lpstr>Consolidado</vt:lpstr>
      <vt:lpstr>Liq. Total</vt:lpstr>
      <vt:lpstr>Ej. x Fuente F.</vt:lpstr>
      <vt:lpstr>Origen y A</vt:lpstr>
      <vt:lpstr>Modificaciones</vt:lpstr>
      <vt:lpstr>Publicidad y P.</vt:lpstr>
      <vt:lpstr>Inst. Resp.</vt:lpstr>
      <vt:lpstr>Para Oficios</vt:lpstr>
      <vt:lpstr>Consolidado!Títulos_a_imprimir</vt:lpstr>
      <vt:lpstr>'Prog 1'!Títulos_a_imprimir</vt:lpstr>
      <vt:lpstr>'Prog 2'!Títulos_a_imprimir</vt:lpstr>
      <vt:lpstr>'Prog 3'!Títulos_a_imprimir</vt:lpstr>
    </vt:vector>
  </TitlesOfParts>
  <Manager/>
  <Company>Instituto Nacional de las Mujeres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rmonge</dc:creator>
  <cp:keywords/>
  <dc:description/>
  <cp:lastModifiedBy>Mauricio Solano Martinez</cp:lastModifiedBy>
  <cp:revision/>
  <cp:lastPrinted>2026-07-14T15:26:07Z</cp:lastPrinted>
  <dcterms:created xsi:type="dcterms:W3CDTF">2004-02-06T15:34:24Z</dcterms:created>
  <dcterms:modified xsi:type="dcterms:W3CDTF">2026-07-15T21:37:10Z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0x010100E6FB16B01EA13247BD73CB9BDB011982</vt:lpwstr>
  </property>
</Properties>
</file>